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00"/>
  </bookViews>
  <sheets>
    <sheet name="2022.2.5 (2)" sheetId="1" r:id="rId1"/>
  </sheets>
  <calcPr calcId="144525"/>
</workbook>
</file>

<file path=xl/sharedStrings.xml><?xml version="1.0" encoding="utf-8"?>
<sst xmlns="http://schemas.openxmlformats.org/spreadsheetml/2006/main" count="88">
  <si>
    <t>年</t>
  </si>
  <si>
    <t>月</t>
  </si>
  <si>
    <t>日～</t>
  </si>
  <si>
    <t>日</t>
  </si>
  <si>
    <t>※2022年4月1～計算式に対応</t>
  </si>
  <si>
    <t>※数値はあくまでも参考値です。実際の数値とは多少ズレが生じます。</t>
  </si>
  <si>
    <t>2022/3/31まで（概算値）</t>
  </si>
  <si>
    <t>購入</t>
  </si>
  <si>
    <t>商品名</t>
  </si>
  <si>
    <t>SPU対象</t>
  </si>
  <si>
    <t>マラソンショップ数</t>
  </si>
  <si>
    <t>商品価格</t>
  </si>
  <si>
    <t>送料</t>
  </si>
  <si>
    <t>値引きクーポン（円）</t>
  </si>
  <si>
    <t>割引きクーポン（％）</t>
  </si>
  <si>
    <t>ポイント利用分</t>
  </si>
  <si>
    <t>実質支払い額</t>
  </si>
  <si>
    <t>差額（送料無し、ポイント引き前）</t>
  </si>
  <si>
    <t>差額（送料無し、ポイント引き後）</t>
  </si>
  <si>
    <t>アイテムポイント</t>
  </si>
  <si>
    <t>楽天カード通常利用分税込み分SPU</t>
  </si>
  <si>
    <t>SPU</t>
  </si>
  <si>
    <t>（カード分）アイテム＋SPUポイント計</t>
  </si>
  <si>
    <t>（ポイント分）アイテム＋SPUポイント</t>
  </si>
  <si>
    <t>カード通常＋カード＆ポイントSPU</t>
  </si>
  <si>
    <t>お買い物マラソン買い回りショップ数-1</t>
  </si>
  <si>
    <t>ショップ買い回り数</t>
  </si>
  <si>
    <t>マラソンポイント</t>
  </si>
  <si>
    <t>マラソンポイント計</t>
  </si>
  <si>
    <t>マラソンP上限考慮</t>
  </si>
  <si>
    <t>０と５の日</t>
  </si>
  <si>
    <t>0と5ポイント</t>
  </si>
  <si>
    <t>0と5ポイント計</t>
  </si>
  <si>
    <t>0と5ポイント上限考慮</t>
  </si>
  <si>
    <t>ワンダフル</t>
  </si>
  <si>
    <t>ワンダフルポイント</t>
  </si>
  <si>
    <t>ワンダフルポイント計</t>
  </si>
  <si>
    <t>ワンダフル上限考慮</t>
  </si>
  <si>
    <t>リピート</t>
  </si>
  <si>
    <t>リピートポイント</t>
  </si>
  <si>
    <t>リピートポイント計</t>
  </si>
  <si>
    <t>リピート上限考慮</t>
  </si>
  <si>
    <t>イチバの日</t>
  </si>
  <si>
    <t>イチバポイント</t>
  </si>
  <si>
    <t>イチバポイント計</t>
  </si>
  <si>
    <t>イチバ上限考慮</t>
  </si>
  <si>
    <t>プレミアム</t>
  </si>
  <si>
    <t>誕生月</t>
  </si>
  <si>
    <t>プレミアム＋誕生月</t>
  </si>
  <si>
    <t>39イベント</t>
  </si>
  <si>
    <t>39ポイント</t>
  </si>
  <si>
    <t>39ポイント計</t>
  </si>
  <si>
    <t>39上限考慮</t>
  </si>
  <si>
    <t>買ったら倍</t>
  </si>
  <si>
    <t>勝利ポイント</t>
  </si>
  <si>
    <t>勝利ポイント計</t>
  </si>
  <si>
    <t>勝利上限考慮</t>
  </si>
  <si>
    <t>ハピタス</t>
  </si>
  <si>
    <t>ハピタスポイント</t>
  </si>
  <si>
    <t>差額　仕入値</t>
  </si>
  <si>
    <t>販売見込金額</t>
  </si>
  <si>
    <t>メルカリ手数料</t>
  </si>
  <si>
    <t>メルカリ送料</t>
  </si>
  <si>
    <t>メルカリ手残り</t>
  </si>
  <si>
    <t>せどり利益</t>
  </si>
  <si>
    <t>自家使用分</t>
  </si>
  <si>
    <t>●</t>
  </si>
  <si>
    <t>リンゴ</t>
  </si>
  <si>
    <t>みかん</t>
  </si>
  <si>
    <t>スイカ</t>
  </si>
  <si>
    <t>バナナ</t>
  </si>
  <si>
    <t>メロン</t>
  </si>
  <si>
    <t>キウイ</t>
  </si>
  <si>
    <t>いちじく</t>
  </si>
  <si>
    <t>ザクロ</t>
  </si>
  <si>
    <t>トマトの育て方</t>
  </si>
  <si>
    <t>楽天ブックス</t>
  </si>
  <si>
    <t>みかん写真集</t>
  </si>
  <si>
    <t>楽天KOBO</t>
  </si>
  <si>
    <t>バナナスーツ</t>
  </si>
  <si>
    <t>楽天ファッション</t>
  </si>
  <si>
    <t>合計</t>
  </si>
  <si>
    <t>０と５上限</t>
  </si>
  <si>
    <t>ワンダフル上限</t>
  </si>
  <si>
    <t>リピート上限</t>
  </si>
  <si>
    <t>イチバ上限</t>
  </si>
  <si>
    <t>39上限</t>
  </si>
  <si>
    <t>勝利上限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</si>
</sst>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8">
    <font>
      <sz val="11"/>
      <color theme="1"/>
      <name val="ＭＳ Ｐゴシック"/>
      <charset val="134"/>
      <scheme val="minor"/>
    </font>
    <font>
      <sz val="7"/>
      <color theme="1"/>
      <name val="ＭＳ Ｐゴシック"/>
      <charset val="134"/>
      <scheme val="minor"/>
    </font>
    <font>
      <sz val="6"/>
      <color theme="1"/>
      <name val="ＭＳ Ｐゴシック"/>
      <charset val="134"/>
      <scheme val="minor"/>
    </font>
    <font>
      <sz val="7"/>
      <color rgb="FF000000"/>
      <name val="ＭＳ Ｐゴシック"/>
      <charset val="134"/>
    </font>
    <font>
      <b/>
      <sz val="7"/>
      <color rgb="FF000000"/>
      <name val="ＭＳ Ｐゴシック"/>
      <charset val="134"/>
    </font>
    <font>
      <sz val="6"/>
      <color rgb="FF000000"/>
      <name val="ＭＳ Ｐゴシック"/>
      <charset val="134"/>
    </font>
    <font>
      <b/>
      <sz val="6"/>
      <color rgb="FF000000"/>
      <name val="ＭＳ Ｐゴシック"/>
      <charset val="134"/>
    </font>
    <font>
      <sz val="8"/>
      <color theme="1"/>
      <name val="ＭＳ Ｐゴシック"/>
      <charset val="134"/>
      <scheme val="minor"/>
    </font>
    <font>
      <b/>
      <sz val="7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9" applyNumberFormat="1" applyFont="1" applyFill="1" applyBorder="1" applyAlignment="1" applyProtection="1"/>
    <xf numFmtId="9" fontId="3" fillId="4" borderId="1" xfId="9" applyNumberFormat="1" applyFont="1" applyFill="1" applyBorder="1" applyAlignment="1"/>
    <xf numFmtId="0" fontId="3" fillId="3" borderId="3" xfId="0" applyFont="1" applyFill="1" applyBorder="1" applyAlignment="1">
      <alignment horizontal="left"/>
    </xf>
    <xf numFmtId="0" fontId="4" fillId="4" borderId="1" xfId="3" applyNumberFormat="1" applyFont="1" applyFill="1" applyBorder="1" applyAlignment="1"/>
    <xf numFmtId="0" fontId="3" fillId="4" borderId="1" xfId="3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/>
    <xf numFmtId="0" fontId="4" fillId="4" borderId="5" xfId="0" applyFont="1" applyFill="1" applyBorder="1" applyAlignment="1"/>
    <xf numFmtId="9" fontId="3" fillId="4" borderId="5" xfId="9" applyNumberFormat="1" applyFont="1" applyFill="1" applyBorder="1" applyAlignment="1"/>
    <xf numFmtId="0" fontId="1" fillId="0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6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6" borderId="1" xfId="9" applyNumberFormat="1" applyFont="1" applyFill="1" applyBorder="1" applyAlignment="1" applyProtection="1"/>
    <xf numFmtId="0" fontId="6" fillId="0" borderId="1" xfId="0" applyFont="1" applyFill="1" applyBorder="1" applyAlignment="1"/>
    <xf numFmtId="0" fontId="3" fillId="0" borderId="1" xfId="0" applyFont="1" applyFill="1" applyBorder="1" applyAlignment="1"/>
    <xf numFmtId="0" fontId="3" fillId="6" borderId="5" xfId="9" applyNumberFormat="1" applyFont="1" applyFill="1" applyBorder="1" applyAlignment="1" applyProtection="1"/>
    <xf numFmtId="0" fontId="6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2" fillId="0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0" fontId="4" fillId="5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5" borderId="1" xfId="0" applyFont="1" applyFill="1" applyBorder="1" applyAlignment="1"/>
    <xf numFmtId="0" fontId="3" fillId="4" borderId="2" xfId="0" applyFont="1" applyFill="1" applyBorder="1" applyAlignment="1"/>
    <xf numFmtId="0" fontId="3" fillId="5" borderId="1" xfId="0" applyFont="1" applyFill="1" applyBorder="1" applyAlignment="1"/>
    <xf numFmtId="0" fontId="1" fillId="4" borderId="1" xfId="0" applyFont="1" applyFill="1" applyBorder="1" applyAlignment="1"/>
    <xf numFmtId="0" fontId="3" fillId="4" borderId="7" xfId="0" applyFont="1" applyFill="1" applyBorder="1" applyAlignment="1"/>
    <xf numFmtId="0" fontId="3" fillId="5" borderId="5" xfId="0" applyFont="1" applyFill="1" applyBorder="1" applyAlignment="1"/>
    <xf numFmtId="0" fontId="1" fillId="4" borderId="5" xfId="0" applyFont="1" applyFill="1" applyBorder="1" applyAlignment="1"/>
    <xf numFmtId="0" fontId="1" fillId="0" borderId="3" xfId="0" applyFont="1" applyBorder="1">
      <alignment vertical="center"/>
    </xf>
    <xf numFmtId="0" fontId="1" fillId="5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5" borderId="1" xfId="0" applyFont="1" applyFill="1" applyBorder="1" applyAlignment="1">
      <alignment wrapText="1"/>
    </xf>
    <xf numFmtId="0" fontId="8" fillId="6" borderId="6" xfId="0" applyFon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X28"/>
  <sheetViews>
    <sheetView tabSelected="1" zoomScale="120" zoomScaleNormal="120" topLeftCell="F1" workbookViewId="0">
      <selection activeCell="AM39" sqref="AM39"/>
    </sheetView>
  </sheetViews>
  <sheetFormatPr defaultColWidth="5.61111111111111" defaultRowHeight="9"/>
  <cols>
    <col min="1" max="1" width="3.65740740740741" style="1" customWidth="1"/>
    <col min="2" max="2" width="12.6851851851852" style="1" customWidth="1"/>
    <col min="3" max="3" width="5.61111111111111" style="1" customWidth="1"/>
    <col min="4" max="4" width="4.62962962962963" style="1" customWidth="1"/>
    <col min="5" max="6" width="5.61111111111111" style="1" customWidth="1"/>
    <col min="7" max="9" width="4.62962962962963" style="1" customWidth="1"/>
    <col min="10" max="10" width="4.77777777777778" style="1" customWidth="1"/>
    <col min="11" max="11" width="0.175925925925926" style="1" customWidth="1"/>
    <col min="12" max="12" width="0.175925925925926" style="2" customWidth="1"/>
    <col min="13" max="13" width="4.77777777777778" style="1" customWidth="1"/>
    <col min="14" max="14" width="0.175925925925926" style="1" customWidth="1"/>
    <col min="15" max="15" width="4.77777777777778" style="1" customWidth="1"/>
    <col min="16" max="17" width="0.175925925925926" style="1" customWidth="1"/>
    <col min="18" max="19" width="4.77777777777778" style="1" customWidth="1"/>
    <col min="20" max="22" width="0.175925925925926" style="1" customWidth="1"/>
    <col min="23" max="24" width="4.77777777777778" style="1" customWidth="1"/>
    <col min="25" max="26" width="0.175925925925926" style="1" customWidth="1"/>
    <col min="27" max="28" width="4.77777777777778" style="1" customWidth="1"/>
    <col min="29" max="30" width="0.175925925925926" style="1" customWidth="1"/>
    <col min="31" max="32" width="4.77777777777778" style="1" customWidth="1"/>
    <col min="33" max="34" width="0.175925925925926" style="1" customWidth="1"/>
    <col min="35" max="36" width="4.77777777777778" style="1" customWidth="1"/>
    <col min="37" max="38" width="0.175925925925926" style="1" customWidth="1"/>
    <col min="39" max="43" width="4.77777777777778" style="1" customWidth="1"/>
    <col min="44" max="45" width="0.175925925925926" style="1" customWidth="1"/>
    <col min="46" max="47" width="4.77777777777778" style="1" customWidth="1"/>
    <col min="48" max="49" width="0.175925925925926" style="1" customWidth="1"/>
    <col min="50" max="52" width="4.77777777777778" style="1" customWidth="1"/>
    <col min="53" max="53" width="5.77777777777778" style="1" customWidth="1"/>
    <col min="54" max="56" width="5.61111111111111" style="1" customWidth="1"/>
    <col min="57" max="57" width="0.175925925925926" style="1" customWidth="1"/>
    <col min="58" max="58" width="5.61111111111111" style="1" customWidth="1"/>
    <col min="59" max="60" width="5.61111111111111" style="1"/>
    <col min="61" max="61" width="5.61111111111111" style="1" customWidth="1"/>
    <col min="62" max="16384" width="5.61111111111111" style="1"/>
  </cols>
  <sheetData>
    <row r="1" ht="9.6" spans="29:39">
      <c r="AC1" s="50"/>
      <c r="AD1" s="50"/>
      <c r="AE1" s="50"/>
      <c r="AG1" s="50"/>
      <c r="AH1" s="50"/>
      <c r="AI1" s="50"/>
      <c r="AK1" s="50"/>
      <c r="AL1" s="50"/>
      <c r="AM1" s="50"/>
    </row>
    <row r="2" spans="3:14">
      <c r="C2" s="3">
        <v>2022</v>
      </c>
      <c r="D2" s="4" t="s">
        <v>0</v>
      </c>
      <c r="E2" s="3">
        <v>3</v>
      </c>
      <c r="F2" s="4" t="s">
        <v>1</v>
      </c>
      <c r="G2" s="3">
        <v>15</v>
      </c>
      <c r="H2" s="5" t="s">
        <v>2</v>
      </c>
      <c r="I2" s="3">
        <v>25</v>
      </c>
      <c r="J2" s="5" t="s">
        <v>3</v>
      </c>
      <c r="K2" s="36"/>
      <c r="L2" s="37"/>
      <c r="M2" s="36"/>
      <c r="N2" s="2"/>
    </row>
    <row r="3" spans="1:61">
      <c r="A3" s="6"/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38"/>
      <c r="M3" s="6"/>
      <c r="N3" s="6" t="s">
        <v>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I3" s="1" t="s">
        <v>6</v>
      </c>
    </row>
    <row r="4" ht="30" customHeight="1" spans="1:76">
      <c r="A4" s="7" t="s">
        <v>7</v>
      </c>
      <c r="B4" s="7" t="s">
        <v>8</v>
      </c>
      <c r="C4" s="8" t="s">
        <v>9</v>
      </c>
      <c r="D4" s="9" t="s">
        <v>10</v>
      </c>
      <c r="E4" s="9" t="s">
        <v>11</v>
      </c>
      <c r="F4" s="10" t="s">
        <v>12</v>
      </c>
      <c r="G4" s="11" t="s">
        <v>13</v>
      </c>
      <c r="H4" s="11" t="s">
        <v>14</v>
      </c>
      <c r="I4" s="11" t="s">
        <v>15</v>
      </c>
      <c r="J4" s="39" t="s">
        <v>16</v>
      </c>
      <c r="K4" s="40" t="s">
        <v>17</v>
      </c>
      <c r="L4" s="40" t="s">
        <v>18</v>
      </c>
      <c r="M4" s="11" t="s">
        <v>19</v>
      </c>
      <c r="N4" s="40" t="s">
        <v>20</v>
      </c>
      <c r="O4" s="11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11" t="s">
        <v>27</v>
      </c>
      <c r="V4" s="11" t="s">
        <v>28</v>
      </c>
      <c r="W4" s="40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11" t="s">
        <v>37</v>
      </c>
      <c r="AF4" s="11" t="s">
        <v>38</v>
      </c>
      <c r="AG4" s="11" t="s">
        <v>39</v>
      </c>
      <c r="AH4" s="11" t="s">
        <v>40</v>
      </c>
      <c r="AI4" s="11" t="s">
        <v>41</v>
      </c>
      <c r="AJ4" s="11" t="s">
        <v>42</v>
      </c>
      <c r="AK4" s="11" t="s">
        <v>43</v>
      </c>
      <c r="AL4" s="11" t="s">
        <v>44</v>
      </c>
      <c r="AM4" s="11" t="s">
        <v>45</v>
      </c>
      <c r="AN4" s="11" t="s">
        <v>46</v>
      </c>
      <c r="AO4" s="11" t="s">
        <v>47</v>
      </c>
      <c r="AP4" s="11" t="s">
        <v>48</v>
      </c>
      <c r="AQ4" s="11" t="s">
        <v>49</v>
      </c>
      <c r="AR4" s="11" t="s">
        <v>50</v>
      </c>
      <c r="AS4" s="11" t="s">
        <v>51</v>
      </c>
      <c r="AT4" s="11" t="s">
        <v>52</v>
      </c>
      <c r="AU4" s="11" t="s">
        <v>53</v>
      </c>
      <c r="AV4" s="11" t="s">
        <v>54</v>
      </c>
      <c r="AW4" s="11" t="s">
        <v>55</v>
      </c>
      <c r="AX4" s="11" t="s">
        <v>56</v>
      </c>
      <c r="AY4" s="11" t="s">
        <v>57</v>
      </c>
      <c r="AZ4" s="11" t="s">
        <v>58</v>
      </c>
      <c r="BA4" s="53" t="s">
        <v>59</v>
      </c>
      <c r="BB4" s="54" t="s">
        <v>60</v>
      </c>
      <c r="BC4" s="11" t="s">
        <v>61</v>
      </c>
      <c r="BD4" s="11" t="s">
        <v>62</v>
      </c>
      <c r="BE4" s="10" t="s">
        <v>63</v>
      </c>
      <c r="BF4" s="65" t="s">
        <v>64</v>
      </c>
      <c r="BG4" s="65" t="s">
        <v>65</v>
      </c>
      <c r="BH4" s="6"/>
      <c r="BI4" s="65" t="s">
        <v>64</v>
      </c>
      <c r="BJ4" s="65" t="s">
        <v>65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ht="24" customHeight="1" spans="1:76">
      <c r="A5" s="12" t="s">
        <v>66</v>
      </c>
      <c r="B5" s="13" t="s">
        <v>67</v>
      </c>
      <c r="C5" s="14"/>
      <c r="D5" s="15">
        <v>1</v>
      </c>
      <c r="E5" s="16">
        <v>5000</v>
      </c>
      <c r="F5" s="15"/>
      <c r="G5" s="15"/>
      <c r="H5" s="17"/>
      <c r="I5" s="17"/>
      <c r="J5" s="41">
        <f t="shared" ref="J5:J24" si="0">ROUNDDOWN((E5-G5)*(1-H5*0.01),0)</f>
        <v>5000</v>
      </c>
      <c r="K5" s="42">
        <f t="shared" ref="K5:K24" si="1">ROUNDDOWN((E5-G5)*(1-H5*0.01),0)-F5</f>
        <v>5000</v>
      </c>
      <c r="L5" s="42">
        <f t="shared" ref="L5:L24" si="2">ROUNDDOWN((E5-G5)*(1-H5*0.01),0)-F5-I5</f>
        <v>5000</v>
      </c>
      <c r="M5" s="15">
        <v>2</v>
      </c>
      <c r="N5" s="43">
        <f t="shared" ref="N5:N24" si="3">ROUNDDOWN(J5*0.01,0)</f>
        <v>50</v>
      </c>
      <c r="O5" s="7">
        <f>O28</f>
        <v>11</v>
      </c>
      <c r="P5" s="7">
        <f>ROUNDDOWN(L5*SUM(M5+O5-1)/100/1.1,0)</f>
        <v>545</v>
      </c>
      <c r="Q5" s="7">
        <f t="shared" ref="Q5:Q24" si="4">ROUNDDOWN(I5*SUM(M5+O5-1-6)/100/1.1,0)</f>
        <v>0</v>
      </c>
      <c r="R5" s="7">
        <f t="shared" ref="R5:R24" si="5">ROUNDDOWN(N5+P5+Q5,0)</f>
        <v>595</v>
      </c>
      <c r="S5" s="7">
        <f t="shared" ref="S5:S24" si="6">$D$25-1</f>
        <v>10</v>
      </c>
      <c r="T5" s="7">
        <f t="shared" ref="T5:T24" si="7">IF(S5&gt;=10,9,S5)</f>
        <v>9</v>
      </c>
      <c r="U5" s="7">
        <f t="shared" ref="U5:U10" si="8">ROUNDDOWN(K5*T5/100/1.1,0)</f>
        <v>409</v>
      </c>
      <c r="V5" s="7">
        <f>SUM(U5)</f>
        <v>409</v>
      </c>
      <c r="W5" s="43">
        <f>V5</f>
        <v>409</v>
      </c>
      <c r="X5" s="15">
        <v>2</v>
      </c>
      <c r="Y5" s="7">
        <f t="shared" ref="Y5:Y24" si="9">ROUNDDOWN(L5*X5/100/1.1,0)</f>
        <v>90</v>
      </c>
      <c r="Z5" s="7">
        <f>SUM(Y5)</f>
        <v>90</v>
      </c>
      <c r="AA5" s="43">
        <f>Z5</f>
        <v>90</v>
      </c>
      <c r="AB5" s="51">
        <v>2</v>
      </c>
      <c r="AC5" s="7">
        <f t="shared" ref="AC5:AC24" si="10">ROUNDDOWN(K5*AB5/100/1.1,0)</f>
        <v>90</v>
      </c>
      <c r="AD5" s="7">
        <f>SUM(AC5)</f>
        <v>90</v>
      </c>
      <c r="AE5" s="43">
        <f>AD5</f>
        <v>90</v>
      </c>
      <c r="AF5" s="51">
        <v>1</v>
      </c>
      <c r="AG5" s="7">
        <f t="shared" ref="AG5:AG24" si="11">ROUNDDOWN(K5*AF5/100/1.1,0)</f>
        <v>45</v>
      </c>
      <c r="AH5" s="7">
        <f>SUM(AG5)</f>
        <v>45</v>
      </c>
      <c r="AI5" s="43">
        <f>AH5</f>
        <v>45</v>
      </c>
      <c r="AJ5" s="51"/>
      <c r="AK5" s="7">
        <f t="shared" ref="AK5:AK24" si="12">ROUNDDOWN(K5*AJ5/100/1.1,0)</f>
        <v>0</v>
      </c>
      <c r="AL5" s="7">
        <f>SUM(AK5)</f>
        <v>0</v>
      </c>
      <c r="AM5" s="43">
        <f>AL5</f>
        <v>0</v>
      </c>
      <c r="AN5" s="15"/>
      <c r="AO5" s="15">
        <v>1</v>
      </c>
      <c r="AP5" s="43">
        <f>ROUNDDOWN(L5*SUM(AN5:AO5)/100/1.1,0)</f>
        <v>45</v>
      </c>
      <c r="AQ5" s="15">
        <v>1</v>
      </c>
      <c r="AR5" s="7">
        <f t="shared" ref="AR5:AR24" si="13">ROUNDDOWN(K5*AQ5/100/1.1,0)</f>
        <v>45</v>
      </c>
      <c r="AS5" s="7">
        <f>SUM(AR5)</f>
        <v>45</v>
      </c>
      <c r="AT5" s="43">
        <f>AS5</f>
        <v>45</v>
      </c>
      <c r="AU5" s="15"/>
      <c r="AV5" s="7">
        <f t="shared" ref="AV5:AV24" si="14">ROUNDDOWN(K5*AU5/100/1.1,0)</f>
        <v>0</v>
      </c>
      <c r="AW5" s="7">
        <f>SUM(AV5)</f>
        <v>0</v>
      </c>
      <c r="AX5" s="43">
        <f>AW5</f>
        <v>0</v>
      </c>
      <c r="AY5" s="15">
        <v>1</v>
      </c>
      <c r="AZ5" s="43">
        <f t="shared" ref="AZ5:AZ24" si="15">ROUNDDOWN(K5*AY5/100,0)</f>
        <v>50</v>
      </c>
      <c r="BA5" s="55">
        <f t="shared" ref="BA5:BA24" si="16">J5-R5-W5-AA5-AE5-AI5-AM5-AP5-AT5-AX5-AZ5</f>
        <v>3631</v>
      </c>
      <c r="BB5" s="56"/>
      <c r="BC5" s="57">
        <f t="shared" ref="BC5:BC24" si="17">IFERROR(ROUNDDOWN(BB5*0.1,0),"")</f>
        <v>0</v>
      </c>
      <c r="BD5" s="15"/>
      <c r="BE5" s="43">
        <f t="shared" ref="BE5:BE24" si="18">BB5-BC5-BD5</f>
        <v>0</v>
      </c>
      <c r="BF5" s="57" t="str">
        <f t="shared" ref="BF5:BF24" si="19">IF(BB5="","",BE5-BA5)</f>
        <v/>
      </c>
      <c r="BG5" s="57">
        <f t="shared" ref="BG5:BG24" si="20">IF(BA5=0,"",IF(BB5="",BA5,""))</f>
        <v>3631</v>
      </c>
      <c r="BH5" s="6"/>
      <c r="BI5" s="57" t="str">
        <f t="shared" ref="BI5:BI24" si="21">IF(BF5="","",ROUNDDOWN(BF5*1.1,0))</f>
        <v/>
      </c>
      <c r="BJ5" s="57">
        <f t="shared" ref="BJ5:BJ24" si="22">IF(BG5="","",ROUNDUP(BG5/1.1,0))</f>
        <v>3301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ht="24" customHeight="1" spans="1:73">
      <c r="A6" s="12" t="s">
        <v>66</v>
      </c>
      <c r="B6" s="13" t="s">
        <v>68</v>
      </c>
      <c r="C6" s="14"/>
      <c r="D6" s="15">
        <v>1</v>
      </c>
      <c r="E6" s="16">
        <v>4000</v>
      </c>
      <c r="F6" s="15"/>
      <c r="G6" s="15"/>
      <c r="H6" s="18"/>
      <c r="I6" s="17"/>
      <c r="J6" s="41">
        <f t="shared" si="0"/>
        <v>4000</v>
      </c>
      <c r="K6" s="42">
        <f t="shared" si="1"/>
        <v>4000</v>
      </c>
      <c r="L6" s="42">
        <f t="shared" si="2"/>
        <v>4000</v>
      </c>
      <c r="M6" s="15"/>
      <c r="N6" s="43">
        <f t="shared" si="3"/>
        <v>40</v>
      </c>
      <c r="O6" s="7">
        <f>$O$5</f>
        <v>11</v>
      </c>
      <c r="P6" s="7">
        <f t="shared" ref="P6:P24" si="23">ROUNDDOWN(L6*SUM(M6+O6)/100,0)</f>
        <v>440</v>
      </c>
      <c r="Q6" s="7">
        <f t="shared" si="4"/>
        <v>0</v>
      </c>
      <c r="R6" s="7">
        <f t="shared" si="5"/>
        <v>480</v>
      </c>
      <c r="S6" s="7">
        <f t="shared" si="6"/>
        <v>10</v>
      </c>
      <c r="T6" s="7">
        <f t="shared" si="7"/>
        <v>9</v>
      </c>
      <c r="U6" s="7">
        <f t="shared" si="8"/>
        <v>327</v>
      </c>
      <c r="V6" s="7">
        <f>SUM($U$5:$U6)</f>
        <v>736</v>
      </c>
      <c r="W6" s="43">
        <f>IF(V5&gt;7000,0,IF(SUM($W$5:$W5)=7000,0,IF(V6&gt;7000,(V5-7000)*-1,U6)))</f>
        <v>327</v>
      </c>
      <c r="X6" s="15">
        <v>2</v>
      </c>
      <c r="Y6" s="7">
        <f t="shared" si="9"/>
        <v>72</v>
      </c>
      <c r="Z6" s="7">
        <f>SUM($Y$5:$Y6)</f>
        <v>162</v>
      </c>
      <c r="AA6" s="43">
        <f>IF(Z5&gt;$X$28,0,IF(SUM($AA$5:$AA5)=$X$28,0,IF(Z6&gt;$X$28,(Z5-$X$28)*-1,Y6)))</f>
        <v>72</v>
      </c>
      <c r="AB6" s="51"/>
      <c r="AC6" s="7">
        <f t="shared" si="10"/>
        <v>0</v>
      </c>
      <c r="AD6" s="7">
        <f>SUM($AC$5:$AC6)</f>
        <v>90</v>
      </c>
      <c r="AE6" s="43">
        <f>IF(AD5&gt;$AB$28,0,IF(SUM($AE$5:$AE5)=$AB$28,0,IF(AD6&gt;$AB$28,(AD5-$AB$28)*-1,AC6)))</f>
        <v>0</v>
      </c>
      <c r="AF6" s="51"/>
      <c r="AG6" s="7">
        <f t="shared" si="11"/>
        <v>0</v>
      </c>
      <c r="AH6" s="7">
        <f>SUM($AG$5:$AG6)</f>
        <v>45</v>
      </c>
      <c r="AI6" s="43">
        <f>IF(AH5&gt;$AF$28,0,IF(SUM($AI$5:$AI5)=$AF$28,0,IF(AH6&gt;$AF$28,(AH5-$AF$28)*-1,AG6)))</f>
        <v>0</v>
      </c>
      <c r="AJ6" s="51">
        <v>3</v>
      </c>
      <c r="AK6" s="7">
        <f t="shared" si="12"/>
        <v>109</v>
      </c>
      <c r="AL6" s="7">
        <f>SUM($Y$5:$Y6)</f>
        <v>162</v>
      </c>
      <c r="AM6" s="43">
        <f>IF(AL5&gt;$AJ$28,0,IF(SUM($AM$5:$AM5)=$AJ$28,0,IF(AL6&gt;$AJ$28,(AL5-$AJ$28)*-1,AK6)))</f>
        <v>109</v>
      </c>
      <c r="AN6" s="15"/>
      <c r="AO6" s="15">
        <v>1</v>
      </c>
      <c r="AP6" s="43">
        <f t="shared" ref="AP6:AP24" si="24">ROUNDDOWN(L6*SUM(AN6:AO6)/100/1.1,0)+ROUNDDOWN(K6*AQ6/100/1.1,0)</f>
        <v>72</v>
      </c>
      <c r="AQ6" s="15">
        <v>1</v>
      </c>
      <c r="AR6" s="7">
        <f t="shared" si="13"/>
        <v>36</v>
      </c>
      <c r="AS6" s="7">
        <f>SUM($AR$5:$AR6)</f>
        <v>81</v>
      </c>
      <c r="AT6" s="43">
        <f>IF(AS5&gt;$AQ$28,0,IF(SUM($AT$5:$AT5)=$AQ$28,0,IF(AS6&gt;$AQ$28,(AS5-$AQ$28)*-1,AR6)))</f>
        <v>36</v>
      </c>
      <c r="AU6" s="15"/>
      <c r="AV6" s="7">
        <f t="shared" si="14"/>
        <v>0</v>
      </c>
      <c r="AW6" s="7">
        <f>SUM($AV$5:$AV6)</f>
        <v>0</v>
      </c>
      <c r="AX6" s="43">
        <f>IF(AW5&gt;$AU$28,0,IF(SUM($AX$5:$AX5)=$AU$28,0,IF(AW6&gt;$AU$28,(AW5-$AU$28)*-1,AV6)))</f>
        <v>0</v>
      </c>
      <c r="AY6" s="15">
        <v>1</v>
      </c>
      <c r="AZ6" s="43">
        <f t="shared" si="15"/>
        <v>40</v>
      </c>
      <c r="BA6" s="55">
        <f t="shared" si="16"/>
        <v>2864</v>
      </c>
      <c r="BB6" s="56"/>
      <c r="BC6" s="57">
        <f t="shared" si="17"/>
        <v>0</v>
      </c>
      <c r="BD6" s="15"/>
      <c r="BE6" s="43">
        <f t="shared" si="18"/>
        <v>0</v>
      </c>
      <c r="BF6" s="57" t="str">
        <f t="shared" si="19"/>
        <v/>
      </c>
      <c r="BG6" s="57">
        <f t="shared" si="20"/>
        <v>2864</v>
      </c>
      <c r="BH6" s="6"/>
      <c r="BI6" s="57" t="str">
        <f t="shared" si="21"/>
        <v/>
      </c>
      <c r="BJ6" s="57">
        <f t="shared" si="22"/>
        <v>2604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ht="24" customHeight="1" spans="1:62">
      <c r="A7" s="12" t="s">
        <v>66</v>
      </c>
      <c r="B7" s="13" t="s">
        <v>69</v>
      </c>
      <c r="C7" s="14"/>
      <c r="D7" s="15">
        <v>1</v>
      </c>
      <c r="E7" s="16">
        <v>7000</v>
      </c>
      <c r="F7" s="15"/>
      <c r="G7" s="15"/>
      <c r="H7" s="18">
        <v>0.05</v>
      </c>
      <c r="I7" s="17"/>
      <c r="J7" s="41">
        <f t="shared" si="0"/>
        <v>6996</v>
      </c>
      <c r="K7" s="42">
        <f t="shared" si="1"/>
        <v>6996</v>
      </c>
      <c r="L7" s="42">
        <f t="shared" si="2"/>
        <v>6996</v>
      </c>
      <c r="M7" s="15"/>
      <c r="N7" s="43">
        <f t="shared" si="3"/>
        <v>69</v>
      </c>
      <c r="O7" s="7">
        <f>$O$5</f>
        <v>11</v>
      </c>
      <c r="P7" s="7">
        <f t="shared" si="23"/>
        <v>769</v>
      </c>
      <c r="Q7" s="7">
        <f t="shared" si="4"/>
        <v>0</v>
      </c>
      <c r="R7" s="7">
        <f t="shared" si="5"/>
        <v>838</v>
      </c>
      <c r="S7" s="7">
        <f t="shared" si="6"/>
        <v>10</v>
      </c>
      <c r="T7" s="7">
        <f t="shared" si="7"/>
        <v>9</v>
      </c>
      <c r="U7" s="7">
        <f t="shared" si="8"/>
        <v>572</v>
      </c>
      <c r="V7" s="7">
        <f>SUM($U$5:$U7)</f>
        <v>1308</v>
      </c>
      <c r="W7" s="43">
        <f>IF(V6&gt;7000,0,IF(SUM($W$5:$W6)=7000,0,IF(V7&gt;7000,(V6-7000)*-1,U7)))</f>
        <v>572</v>
      </c>
      <c r="X7" s="15">
        <v>2</v>
      </c>
      <c r="Y7" s="7">
        <f t="shared" si="9"/>
        <v>127</v>
      </c>
      <c r="Z7" s="7">
        <f>SUM($Y$5:$Y7)</f>
        <v>289</v>
      </c>
      <c r="AA7" s="43">
        <f>IF(Z6&gt;$X$28,0,IF(SUM($AA$5:$AA6)=$X$28,0,IF(Z7&gt;$X$28,(Z6-$X$28)*-1,Y7)))</f>
        <v>127</v>
      </c>
      <c r="AB7" s="51"/>
      <c r="AC7" s="7">
        <f t="shared" si="10"/>
        <v>0</v>
      </c>
      <c r="AD7" s="7">
        <f>SUM($AC$5:$AC7)</f>
        <v>90</v>
      </c>
      <c r="AE7" s="43">
        <f>IF(AD6&gt;$AB$28,0,IF(SUM($AE$5:$AE6)=$AB$28,0,IF(AD7&gt;$AB$28,(AD6-$AB$28)*-1,AC7)))</f>
        <v>0</v>
      </c>
      <c r="AF7" s="51"/>
      <c r="AG7" s="7">
        <f t="shared" si="11"/>
        <v>0</v>
      </c>
      <c r="AH7" s="7">
        <f>SUM($AG$5:$AG7)</f>
        <v>45</v>
      </c>
      <c r="AI7" s="43">
        <f>IF(AH6&gt;$AF$28,0,IF(SUM($AI$5:$AI6)=$AF$28,0,IF(AH7&gt;$AF$28,(AH6-$AF$28)*-1,AG7)))</f>
        <v>0</v>
      </c>
      <c r="AJ7" s="51">
        <v>3</v>
      </c>
      <c r="AK7" s="7">
        <f t="shared" si="12"/>
        <v>190</v>
      </c>
      <c r="AL7" s="7">
        <f>SUM($Y$5:$Y7)</f>
        <v>289</v>
      </c>
      <c r="AM7" s="43">
        <f>IF(AL6&gt;$AJ$28,0,IF(SUM($AM$5:$AM6)=$AJ$28,0,IF(AL7&gt;$AJ$28,(AL6-$AJ$28)*-1,AK7)))</f>
        <v>190</v>
      </c>
      <c r="AN7" s="15"/>
      <c r="AO7" s="15">
        <v>1</v>
      </c>
      <c r="AP7" s="43">
        <f t="shared" si="24"/>
        <v>126</v>
      </c>
      <c r="AQ7" s="15">
        <v>1</v>
      </c>
      <c r="AR7" s="7">
        <f t="shared" si="13"/>
        <v>63</v>
      </c>
      <c r="AS7" s="7">
        <f>SUM($AR$5:$AR7)</f>
        <v>144</v>
      </c>
      <c r="AT7" s="43">
        <f>IF(AS6&gt;$AQ$28,0,IF(SUM($AT$5:$AT6)=$AQ$28,0,IF(AS7&gt;$AQ$28,(AS6-$AQ$28)*-1,AR7)))</f>
        <v>63</v>
      </c>
      <c r="AU7" s="15"/>
      <c r="AV7" s="7">
        <f t="shared" si="14"/>
        <v>0</v>
      </c>
      <c r="AW7" s="7">
        <f>SUM($AV$5:$AV7)</f>
        <v>0</v>
      </c>
      <c r="AX7" s="43">
        <f>IF(AW6&gt;$AU$28,0,IF(SUM($AX$5:$AX6)=$AU$28,0,IF(AW7&gt;$AU$28,(AW6-$AU$28)*-1,AV7)))</f>
        <v>0</v>
      </c>
      <c r="AY7" s="15">
        <v>1</v>
      </c>
      <c r="AZ7" s="43">
        <f t="shared" si="15"/>
        <v>69</v>
      </c>
      <c r="BA7" s="55">
        <f t="shared" si="16"/>
        <v>5011</v>
      </c>
      <c r="BB7" s="56"/>
      <c r="BC7" s="57">
        <f t="shared" si="17"/>
        <v>0</v>
      </c>
      <c r="BD7" s="15"/>
      <c r="BE7" s="43">
        <f t="shared" si="18"/>
        <v>0</v>
      </c>
      <c r="BF7" s="57" t="str">
        <f t="shared" si="19"/>
        <v/>
      </c>
      <c r="BG7" s="57">
        <f t="shared" si="20"/>
        <v>5011</v>
      </c>
      <c r="BI7" s="57" t="str">
        <f t="shared" si="21"/>
        <v/>
      </c>
      <c r="BJ7" s="57">
        <f t="shared" si="22"/>
        <v>4556</v>
      </c>
    </row>
    <row r="8" ht="24" customHeight="1" spans="1:62">
      <c r="A8" s="12"/>
      <c r="B8" s="13" t="s">
        <v>70</v>
      </c>
      <c r="C8" s="14"/>
      <c r="D8" s="15">
        <v>1</v>
      </c>
      <c r="E8" s="16">
        <v>29800</v>
      </c>
      <c r="F8" s="15">
        <v>1500</v>
      </c>
      <c r="G8" s="15">
        <v>5000</v>
      </c>
      <c r="H8" s="18"/>
      <c r="I8" s="17"/>
      <c r="J8" s="41">
        <f t="shared" si="0"/>
        <v>24800</v>
      </c>
      <c r="K8" s="42">
        <f t="shared" si="1"/>
        <v>23300</v>
      </c>
      <c r="L8" s="42">
        <f t="shared" si="2"/>
        <v>23300</v>
      </c>
      <c r="M8" s="15"/>
      <c r="N8" s="43">
        <f t="shared" si="3"/>
        <v>248</v>
      </c>
      <c r="O8" s="7">
        <f>$O$5</f>
        <v>11</v>
      </c>
      <c r="P8" s="7">
        <f t="shared" si="23"/>
        <v>2563</v>
      </c>
      <c r="Q8" s="7">
        <f t="shared" si="4"/>
        <v>0</v>
      </c>
      <c r="R8" s="7">
        <f t="shared" si="5"/>
        <v>2811</v>
      </c>
      <c r="S8" s="7">
        <f t="shared" si="6"/>
        <v>10</v>
      </c>
      <c r="T8" s="7">
        <f t="shared" si="7"/>
        <v>9</v>
      </c>
      <c r="U8" s="7">
        <f t="shared" si="8"/>
        <v>1906</v>
      </c>
      <c r="V8" s="7">
        <f>SUM($U$5:$U8)</f>
        <v>3214</v>
      </c>
      <c r="W8" s="43">
        <f>IF(V7&gt;7000,0,IF(SUM($W$5:$W7)=7000,0,IF(V8&gt;7000,(V7-7000)*-1,U8)))</f>
        <v>1906</v>
      </c>
      <c r="X8" s="15">
        <v>2</v>
      </c>
      <c r="Y8" s="7">
        <f t="shared" si="9"/>
        <v>423</v>
      </c>
      <c r="Z8" s="7">
        <f>SUM($Y$5:$Y8)</f>
        <v>712</v>
      </c>
      <c r="AA8" s="43">
        <f>IF(Z7&gt;$X$28,0,IF(SUM($AA$5:$AA7)=$X$28,0,IF(Z8&gt;$X$28,(Z7-$X$28)*-1,Y8)))</f>
        <v>423</v>
      </c>
      <c r="AB8" s="51">
        <v>2</v>
      </c>
      <c r="AC8" s="7">
        <f t="shared" si="10"/>
        <v>423</v>
      </c>
      <c r="AD8" s="7">
        <f>SUM($AC$5:$AC8)</f>
        <v>513</v>
      </c>
      <c r="AE8" s="43">
        <f>IF(AD7&gt;$AB$28,0,IF(SUM($AE$5:$AE7)=$AB$28,0,IF(AD8&gt;$AB$28,(AD7-$AB$28)*-1,AC8)))</f>
        <v>423</v>
      </c>
      <c r="AF8" s="51">
        <v>1</v>
      </c>
      <c r="AG8" s="7">
        <f t="shared" si="11"/>
        <v>211</v>
      </c>
      <c r="AH8" s="7">
        <f>SUM($AG$5:$AG8)</f>
        <v>256</v>
      </c>
      <c r="AI8" s="43">
        <f>IF(AH7&gt;$AF$28,0,IF(SUM($AI$5:$AI7)=$AF$28,0,IF(AH8&gt;$AF$28,(AH7-$AF$28)*-1,AG8)))</f>
        <v>211</v>
      </c>
      <c r="AJ8" s="51"/>
      <c r="AK8" s="7">
        <f t="shared" si="12"/>
        <v>0</v>
      </c>
      <c r="AL8" s="7">
        <f>SUM($Y$5:$Y8)</f>
        <v>712</v>
      </c>
      <c r="AM8" s="43">
        <f>IF(AL7&gt;$AJ$28,0,IF(SUM($AM$5:$AM7)=$AJ$28,0,IF(AL8&gt;$AJ$28,(AL7-$AJ$28)*-1,AK8)))</f>
        <v>0</v>
      </c>
      <c r="AN8" s="15">
        <v>1</v>
      </c>
      <c r="AO8" s="15">
        <v>1</v>
      </c>
      <c r="AP8" s="43">
        <f t="shared" si="24"/>
        <v>634</v>
      </c>
      <c r="AQ8" s="15">
        <v>1</v>
      </c>
      <c r="AR8" s="7">
        <f t="shared" si="13"/>
        <v>211</v>
      </c>
      <c r="AS8" s="7">
        <f>SUM($AR$5:$AR8)</f>
        <v>355</v>
      </c>
      <c r="AT8" s="43">
        <f>IF(AS7&gt;$AQ$28,0,IF(SUM($AT$5:$AT7)=$AQ$28,0,IF(AS8&gt;$AQ$28,(AS7-$AQ$28)*-1,AR8)))</f>
        <v>211</v>
      </c>
      <c r="AU8" s="15"/>
      <c r="AV8" s="7">
        <f t="shared" si="14"/>
        <v>0</v>
      </c>
      <c r="AW8" s="7">
        <f>SUM($AV$5:$AV8)</f>
        <v>0</v>
      </c>
      <c r="AX8" s="43">
        <f>IF(AW7&gt;$AU$28,0,IF(SUM($AX$5:$AX7)=$AU$28,0,IF(AW8&gt;$AU$28,(AW7-$AU$28)*-1,AV8)))</f>
        <v>0</v>
      </c>
      <c r="AY8" s="15">
        <v>1</v>
      </c>
      <c r="AZ8" s="43">
        <f t="shared" si="15"/>
        <v>233</v>
      </c>
      <c r="BA8" s="55">
        <f t="shared" si="16"/>
        <v>17948</v>
      </c>
      <c r="BB8" s="56">
        <v>24800</v>
      </c>
      <c r="BC8" s="57">
        <f t="shared" si="17"/>
        <v>2480</v>
      </c>
      <c r="BD8" s="15">
        <v>800</v>
      </c>
      <c r="BE8" s="43">
        <f t="shared" si="18"/>
        <v>21520</v>
      </c>
      <c r="BF8" s="57">
        <f t="shared" si="19"/>
        <v>3572</v>
      </c>
      <c r="BG8" s="57" t="str">
        <f t="shared" si="20"/>
        <v/>
      </c>
      <c r="BI8" s="57">
        <f t="shared" si="21"/>
        <v>3929</v>
      </c>
      <c r="BJ8" s="57" t="str">
        <f t="shared" si="22"/>
        <v/>
      </c>
    </row>
    <row r="9" ht="24" customHeight="1" spans="1:62">
      <c r="A9" s="12" t="s">
        <v>66</v>
      </c>
      <c r="B9" s="19" t="s">
        <v>71</v>
      </c>
      <c r="C9" s="14"/>
      <c r="D9" s="15">
        <v>1</v>
      </c>
      <c r="E9" s="16">
        <v>18000</v>
      </c>
      <c r="F9" s="15"/>
      <c r="G9" s="15"/>
      <c r="H9" s="18"/>
      <c r="I9" s="17"/>
      <c r="J9" s="41">
        <f t="shared" si="0"/>
        <v>18000</v>
      </c>
      <c r="K9" s="42">
        <f t="shared" si="1"/>
        <v>18000</v>
      </c>
      <c r="L9" s="42">
        <f t="shared" si="2"/>
        <v>18000</v>
      </c>
      <c r="M9" s="15">
        <v>4</v>
      </c>
      <c r="N9" s="43">
        <f t="shared" si="3"/>
        <v>180</v>
      </c>
      <c r="O9" s="7">
        <f>$O$5</f>
        <v>11</v>
      </c>
      <c r="P9" s="7">
        <f t="shared" si="23"/>
        <v>2700</v>
      </c>
      <c r="Q9" s="7">
        <f t="shared" si="4"/>
        <v>0</v>
      </c>
      <c r="R9" s="7">
        <f t="shared" si="5"/>
        <v>2880</v>
      </c>
      <c r="S9" s="7">
        <f t="shared" si="6"/>
        <v>10</v>
      </c>
      <c r="T9" s="7">
        <f t="shared" si="7"/>
        <v>9</v>
      </c>
      <c r="U9" s="7">
        <f t="shared" si="8"/>
        <v>1472</v>
      </c>
      <c r="V9" s="7">
        <f>SUM($U$5:$U9)</f>
        <v>4686</v>
      </c>
      <c r="W9" s="43">
        <f>IF(V8&gt;7000,0,IF(SUM($W$5:$W8)=7000,0,IF(V9&gt;7000,(V8-7000)*-1,U9)))</f>
        <v>1472</v>
      </c>
      <c r="X9" s="15">
        <v>2</v>
      </c>
      <c r="Y9" s="7">
        <f t="shared" si="9"/>
        <v>327</v>
      </c>
      <c r="Z9" s="7">
        <f>SUM($Y$5:$Y9)</f>
        <v>1039</v>
      </c>
      <c r="AA9" s="43">
        <f>IF(Z8&gt;$X$28,0,IF(SUM($AA$5:$AA8)=$X$28,0,IF(Z9&gt;$X$28,(Z8-$X$28)*-1,Y9)))</f>
        <v>327</v>
      </c>
      <c r="AB9" s="51"/>
      <c r="AC9" s="7">
        <f t="shared" si="10"/>
        <v>0</v>
      </c>
      <c r="AD9" s="7">
        <f>SUM($AC$5:$AC9)</f>
        <v>513</v>
      </c>
      <c r="AE9" s="43">
        <f>IF(AD8&gt;$AB$28,0,IF(SUM($AE$5:$AE8)=$AB$28,0,IF(AD9&gt;$AB$28,(AD8-$AB$28)*-1,AC9)))</f>
        <v>0</v>
      </c>
      <c r="AF9" s="51"/>
      <c r="AG9" s="7">
        <f t="shared" si="11"/>
        <v>0</v>
      </c>
      <c r="AH9" s="7">
        <f>SUM($AG$5:$AG9)</f>
        <v>256</v>
      </c>
      <c r="AI9" s="43">
        <f>IF(AH8&gt;$AF$28,0,IF(SUM($AI$5:$AI8)=$AF$28,0,IF(AH9&gt;$AF$28,(AH8-$AF$28)*-1,AG9)))</f>
        <v>0</v>
      </c>
      <c r="AJ9" s="51"/>
      <c r="AK9" s="7">
        <f t="shared" si="12"/>
        <v>0</v>
      </c>
      <c r="AL9" s="7">
        <f>SUM($Y$5:$Y9)</f>
        <v>1039</v>
      </c>
      <c r="AM9" s="43">
        <f>IF(AL8&gt;$AJ$28,0,IF(SUM($AM$5:$AM8)=$AJ$28,0,IF(AL9&gt;$AJ$28,(AL8-$AJ$28)*-1,AK9)))</f>
        <v>288</v>
      </c>
      <c r="AN9" s="15">
        <v>1</v>
      </c>
      <c r="AO9" s="15">
        <v>1</v>
      </c>
      <c r="AP9" s="43">
        <f t="shared" si="24"/>
        <v>490</v>
      </c>
      <c r="AQ9" s="15">
        <v>1</v>
      </c>
      <c r="AR9" s="7">
        <f t="shared" si="13"/>
        <v>163</v>
      </c>
      <c r="AS9" s="7">
        <f>SUM($AR$5:$AR9)</f>
        <v>518</v>
      </c>
      <c r="AT9" s="43">
        <f>IF(AS8&gt;$AQ$28,0,IF(SUM($AT$5:$AT8)=$AQ$28,0,IF(AS9&gt;$AQ$28,(AS8-$AQ$28)*-1,AR9)))</f>
        <v>163</v>
      </c>
      <c r="AU9" s="15"/>
      <c r="AV9" s="7">
        <f t="shared" si="14"/>
        <v>0</v>
      </c>
      <c r="AW9" s="7">
        <f>SUM($AV$5:$AV9)</f>
        <v>0</v>
      </c>
      <c r="AX9" s="43">
        <f>IF(AW8&gt;$AU$28,0,IF(SUM($AX$5:$AX8)=$AU$28,0,IF(AW9&gt;$AU$28,(AW8-$AU$28)*-1,AV9)))</f>
        <v>0</v>
      </c>
      <c r="AY9" s="15">
        <v>1</v>
      </c>
      <c r="AZ9" s="43">
        <f t="shared" si="15"/>
        <v>180</v>
      </c>
      <c r="BA9" s="55">
        <f t="shared" si="16"/>
        <v>12200</v>
      </c>
      <c r="BB9" s="56">
        <v>16500</v>
      </c>
      <c r="BC9" s="57">
        <f t="shared" si="17"/>
        <v>1650</v>
      </c>
      <c r="BD9" s="15">
        <v>450</v>
      </c>
      <c r="BE9" s="43">
        <f t="shared" si="18"/>
        <v>14400</v>
      </c>
      <c r="BF9" s="57">
        <f t="shared" si="19"/>
        <v>2200</v>
      </c>
      <c r="BG9" s="57" t="str">
        <f t="shared" si="20"/>
        <v/>
      </c>
      <c r="BI9" s="57">
        <f t="shared" si="21"/>
        <v>2420</v>
      </c>
      <c r="BJ9" s="57" t="str">
        <f t="shared" si="22"/>
        <v/>
      </c>
    </row>
    <row r="10" ht="24" customHeight="1" spans="1:62">
      <c r="A10" s="12"/>
      <c r="B10" s="19" t="s">
        <v>72</v>
      </c>
      <c r="C10" s="14"/>
      <c r="D10" s="15">
        <v>1</v>
      </c>
      <c r="E10" s="16">
        <v>6980</v>
      </c>
      <c r="F10" s="15"/>
      <c r="G10" s="15"/>
      <c r="H10" s="18"/>
      <c r="I10" s="17">
        <v>6980</v>
      </c>
      <c r="J10" s="41">
        <f t="shared" si="0"/>
        <v>6980</v>
      </c>
      <c r="K10" s="42">
        <f t="shared" si="1"/>
        <v>6980</v>
      </c>
      <c r="L10" s="42">
        <f t="shared" si="2"/>
        <v>0</v>
      </c>
      <c r="M10" s="15"/>
      <c r="N10" s="43">
        <f t="shared" si="3"/>
        <v>69</v>
      </c>
      <c r="O10" s="7">
        <f>$O$5</f>
        <v>11</v>
      </c>
      <c r="P10" s="7">
        <f t="shared" si="23"/>
        <v>0</v>
      </c>
      <c r="Q10" s="7">
        <f t="shared" si="4"/>
        <v>253</v>
      </c>
      <c r="R10" s="7">
        <f t="shared" si="5"/>
        <v>322</v>
      </c>
      <c r="S10" s="7">
        <f t="shared" si="6"/>
        <v>10</v>
      </c>
      <c r="T10" s="7">
        <f t="shared" si="7"/>
        <v>9</v>
      </c>
      <c r="U10" s="7">
        <f t="shared" si="8"/>
        <v>571</v>
      </c>
      <c r="V10" s="7">
        <f>SUM($U$5:$U10)</f>
        <v>5257</v>
      </c>
      <c r="W10" s="43">
        <f>IF(V9&gt;7000,0,IF(SUM($W$5:$W9)=7000,0,IF(V10&gt;7000,(V9-7000)*-1,U10)))</f>
        <v>571</v>
      </c>
      <c r="X10" s="15">
        <v>2</v>
      </c>
      <c r="Y10" s="7">
        <f t="shared" si="9"/>
        <v>0</v>
      </c>
      <c r="Z10" s="7">
        <f>SUM($Y$5:$Y10)</f>
        <v>1039</v>
      </c>
      <c r="AA10" s="43">
        <f>IF(Z9&gt;$X$28,0,IF(SUM($AA$5:$AA9)=$X$28,0,IF(Z10&gt;$X$28,(Z9-$X$28)*-1,Y10)))</f>
        <v>0</v>
      </c>
      <c r="AB10" s="51"/>
      <c r="AC10" s="7">
        <f t="shared" si="10"/>
        <v>0</v>
      </c>
      <c r="AD10" s="7">
        <f>SUM($AC$5:$AC10)</f>
        <v>513</v>
      </c>
      <c r="AE10" s="43">
        <f>IF(AD9&gt;$AB$28,0,IF(SUM($AE$5:$AE9)=$AB$28,0,IF(AD10&gt;$AB$28,(AD9-$AB$28)*-1,AC10)))</f>
        <v>0</v>
      </c>
      <c r="AF10" s="51"/>
      <c r="AG10" s="7">
        <f t="shared" si="11"/>
        <v>0</v>
      </c>
      <c r="AH10" s="7">
        <f>SUM($AG$5:$AG10)</f>
        <v>256</v>
      </c>
      <c r="AI10" s="43">
        <f>IF(AH9&gt;$AF$28,0,IF(SUM($AI$5:$AI9)=$AF$28,0,IF(AH10&gt;$AF$28,(AH9-$AF$28)*-1,AG10)))</f>
        <v>0</v>
      </c>
      <c r="AJ10" s="51"/>
      <c r="AK10" s="7">
        <f t="shared" si="12"/>
        <v>0</v>
      </c>
      <c r="AL10" s="7">
        <f>SUM($Y$5:$Y10)</f>
        <v>1039</v>
      </c>
      <c r="AM10" s="43">
        <f>IF(AL9&gt;$AJ$28,0,IF(SUM($AM$5:$AM9)=$AJ$28,0,IF(AL10&gt;$AJ$28,(AL9-$AJ$28)*-1,AK10)))</f>
        <v>0</v>
      </c>
      <c r="AN10" s="15">
        <v>1</v>
      </c>
      <c r="AO10" s="15">
        <v>1</v>
      </c>
      <c r="AP10" s="43">
        <f t="shared" si="24"/>
        <v>63</v>
      </c>
      <c r="AQ10" s="15">
        <v>1</v>
      </c>
      <c r="AR10" s="7">
        <f t="shared" si="13"/>
        <v>63</v>
      </c>
      <c r="AS10" s="7">
        <f>SUM($AR$5:$AR10)</f>
        <v>581</v>
      </c>
      <c r="AT10" s="43">
        <f>IF(AS9&gt;$AQ$28,0,IF(SUM($AT$5:$AT9)=$AQ$28,0,IF(AS10&gt;$AQ$28,(AS9-$AQ$28)*-1,AR10)))</f>
        <v>63</v>
      </c>
      <c r="AU10" s="15">
        <v>1</v>
      </c>
      <c r="AV10" s="7">
        <f t="shared" si="14"/>
        <v>63</v>
      </c>
      <c r="AW10" s="7">
        <f>SUM($AV$5:$AV10)</f>
        <v>63</v>
      </c>
      <c r="AX10" s="43">
        <f>IF(AW9&gt;$AU$28,0,IF(SUM($AX$5:$AX9)=$AU$28,0,IF(AW10&gt;$AU$28,(AW9-$AU$28)*-1,AV10)))</f>
        <v>63</v>
      </c>
      <c r="AY10" s="15">
        <v>1</v>
      </c>
      <c r="AZ10" s="43">
        <f t="shared" si="15"/>
        <v>69</v>
      </c>
      <c r="BA10" s="55">
        <f t="shared" si="16"/>
        <v>5829</v>
      </c>
      <c r="BB10" s="56"/>
      <c r="BC10" s="57">
        <f t="shared" si="17"/>
        <v>0</v>
      </c>
      <c r="BD10" s="15"/>
      <c r="BE10" s="43">
        <f t="shared" si="18"/>
        <v>0</v>
      </c>
      <c r="BF10" s="57" t="str">
        <f t="shared" si="19"/>
        <v/>
      </c>
      <c r="BG10" s="57">
        <f t="shared" si="20"/>
        <v>5829</v>
      </c>
      <c r="BI10" s="57" t="str">
        <f t="shared" si="21"/>
        <v/>
      </c>
      <c r="BJ10" s="57">
        <f t="shared" si="22"/>
        <v>5300</v>
      </c>
    </row>
    <row r="11" ht="24" customHeight="1" spans="1:62">
      <c r="A11" s="12"/>
      <c r="B11" s="19" t="s">
        <v>73</v>
      </c>
      <c r="C11" s="14"/>
      <c r="D11" s="15">
        <v>1</v>
      </c>
      <c r="E11" s="16">
        <v>9000</v>
      </c>
      <c r="F11" s="15"/>
      <c r="G11" s="15"/>
      <c r="H11" s="18"/>
      <c r="I11" s="17"/>
      <c r="J11" s="41">
        <f t="shared" si="0"/>
        <v>9000</v>
      </c>
      <c r="K11" s="42">
        <f t="shared" si="1"/>
        <v>9000</v>
      </c>
      <c r="L11" s="42">
        <f t="shared" si="2"/>
        <v>9000</v>
      </c>
      <c r="M11" s="15"/>
      <c r="N11" s="43">
        <f t="shared" si="3"/>
        <v>90</v>
      </c>
      <c r="O11" s="7">
        <f>$O$5</f>
        <v>11</v>
      </c>
      <c r="P11" s="7">
        <f t="shared" si="23"/>
        <v>990</v>
      </c>
      <c r="Q11" s="7">
        <f t="shared" si="4"/>
        <v>0</v>
      </c>
      <c r="R11" s="7">
        <f t="shared" si="5"/>
        <v>1080</v>
      </c>
      <c r="S11" s="7">
        <f t="shared" si="6"/>
        <v>10</v>
      </c>
      <c r="T11" s="7">
        <f t="shared" si="7"/>
        <v>9</v>
      </c>
      <c r="U11" s="7">
        <f t="shared" ref="U11:U24" si="25">ROUNDDOWN(K11*S11/100/1.1,0)</f>
        <v>818</v>
      </c>
      <c r="V11" s="7">
        <f>SUM($U$5:$U11)</f>
        <v>6075</v>
      </c>
      <c r="W11" s="43">
        <f>IF(V10&gt;7000,0,IF(SUM($W$5:$W10)=7000,0,IF(V11&gt;7000,(V10-7000)*-1,U11)))</f>
        <v>818</v>
      </c>
      <c r="X11" s="15">
        <v>2</v>
      </c>
      <c r="Y11" s="7">
        <f t="shared" si="9"/>
        <v>163</v>
      </c>
      <c r="Z11" s="7">
        <f>SUM($Y$5:$Y11)</f>
        <v>1202</v>
      </c>
      <c r="AA11" s="43">
        <f>IF(Z10&gt;$X$28,0,IF(SUM($AA$5:$AA10)=$X$28,0,IF(Z11&gt;$X$28,(Z10-$X$28)*-1,Y11)))</f>
        <v>163</v>
      </c>
      <c r="AB11" s="51"/>
      <c r="AC11" s="7">
        <f t="shared" si="10"/>
        <v>0</v>
      </c>
      <c r="AD11" s="7">
        <f>SUM($AC$5:$AC11)</f>
        <v>513</v>
      </c>
      <c r="AE11" s="43">
        <f>IF(AD10&gt;$AB$28,0,IF(SUM($AE$5:$AE10)=$AB$28,0,IF(AD11&gt;$AB$28,(AD10-$AB$28)*-1,AC11)))</f>
        <v>0</v>
      </c>
      <c r="AF11" s="51"/>
      <c r="AG11" s="7">
        <f t="shared" si="11"/>
        <v>0</v>
      </c>
      <c r="AH11" s="7">
        <f>SUM($AG$5:$AG11)</f>
        <v>256</v>
      </c>
      <c r="AI11" s="43">
        <f>IF(AH10&gt;$AF$28,0,IF(SUM($AI$5:$AI10)=$AF$28,0,IF(AH11&gt;$AF$28,(AH10-$AF$28)*-1,AG11)))</f>
        <v>0</v>
      </c>
      <c r="AJ11" s="51"/>
      <c r="AK11" s="7">
        <f t="shared" si="12"/>
        <v>0</v>
      </c>
      <c r="AL11" s="7">
        <f>SUM($Y$5:$Y11)</f>
        <v>1202</v>
      </c>
      <c r="AM11" s="43">
        <f>IF(AL10&gt;$AJ$28,0,IF(SUM($AM$5:$AM10)=$AJ$28,0,IF(AL11&gt;$AJ$28,(AL10-$AJ$28)*-1,AK11)))</f>
        <v>0</v>
      </c>
      <c r="AN11" s="15">
        <v>1</v>
      </c>
      <c r="AO11" s="15">
        <v>1</v>
      </c>
      <c r="AP11" s="43">
        <f t="shared" si="24"/>
        <v>244</v>
      </c>
      <c r="AQ11" s="15">
        <v>1</v>
      </c>
      <c r="AR11" s="7">
        <f t="shared" si="13"/>
        <v>81</v>
      </c>
      <c r="AS11" s="7">
        <f>SUM($AR$5:$AR11)</f>
        <v>662</v>
      </c>
      <c r="AT11" s="43">
        <f>IF(AS10&gt;$AQ$28,0,IF(SUM($AT$5:$AT10)=$AQ$28,0,IF(AS11&gt;$AQ$28,(AS10-$AQ$28)*-1,AR11)))</f>
        <v>81</v>
      </c>
      <c r="AU11" s="15">
        <v>1</v>
      </c>
      <c r="AV11" s="7">
        <f t="shared" si="14"/>
        <v>81</v>
      </c>
      <c r="AW11" s="7">
        <f>SUM($AV$5:$AV11)</f>
        <v>144</v>
      </c>
      <c r="AX11" s="43">
        <f>IF(AW10&gt;$AU$28,0,IF(SUM($AX$5:$AX10)=$AU$28,0,IF(AW11&gt;$AU$28,(AW10-$AU$28)*-1,AV11)))</f>
        <v>81</v>
      </c>
      <c r="AY11" s="15">
        <v>1</v>
      </c>
      <c r="AZ11" s="43">
        <f t="shared" si="15"/>
        <v>90</v>
      </c>
      <c r="BA11" s="55">
        <f t="shared" si="16"/>
        <v>6443</v>
      </c>
      <c r="BB11" s="56"/>
      <c r="BC11" s="57">
        <f t="shared" si="17"/>
        <v>0</v>
      </c>
      <c r="BD11" s="58"/>
      <c r="BE11" s="43">
        <f t="shared" si="18"/>
        <v>0</v>
      </c>
      <c r="BF11" s="57" t="str">
        <f t="shared" si="19"/>
        <v/>
      </c>
      <c r="BG11" s="57">
        <f t="shared" si="20"/>
        <v>6443</v>
      </c>
      <c r="BI11" s="57" t="str">
        <f t="shared" si="21"/>
        <v/>
      </c>
      <c r="BJ11" s="57">
        <f t="shared" si="22"/>
        <v>5858</v>
      </c>
    </row>
    <row r="12" ht="24" customHeight="1" spans="1:62">
      <c r="A12" s="12"/>
      <c r="B12" s="19" t="s">
        <v>74</v>
      </c>
      <c r="C12" s="14"/>
      <c r="D12" s="15">
        <v>1</v>
      </c>
      <c r="E12" s="20">
        <v>5000</v>
      </c>
      <c r="F12" s="21"/>
      <c r="G12" s="15"/>
      <c r="H12" s="18"/>
      <c r="I12" s="17"/>
      <c r="J12" s="41">
        <f t="shared" si="0"/>
        <v>5000</v>
      </c>
      <c r="K12" s="42">
        <f t="shared" si="1"/>
        <v>5000</v>
      </c>
      <c r="L12" s="42">
        <f t="shared" si="2"/>
        <v>5000</v>
      </c>
      <c r="M12" s="15"/>
      <c r="N12" s="43">
        <f t="shared" si="3"/>
        <v>50</v>
      </c>
      <c r="O12" s="7">
        <f>$O$5</f>
        <v>11</v>
      </c>
      <c r="P12" s="7">
        <f t="shared" si="23"/>
        <v>550</v>
      </c>
      <c r="Q12" s="7">
        <f t="shared" si="4"/>
        <v>0</v>
      </c>
      <c r="R12" s="7">
        <f t="shared" si="5"/>
        <v>600</v>
      </c>
      <c r="S12" s="7">
        <f t="shared" si="6"/>
        <v>10</v>
      </c>
      <c r="T12" s="7">
        <f t="shared" si="7"/>
        <v>9</v>
      </c>
      <c r="U12" s="7">
        <f t="shared" si="25"/>
        <v>454</v>
      </c>
      <c r="V12" s="7">
        <f>SUM($U$5:$U12)</f>
        <v>6529</v>
      </c>
      <c r="W12" s="43">
        <f>IF(V11&gt;7000,0,IF(SUM($W$5:$W11)=7000,0,IF(V12&gt;7000,(V11-7000)*-1,U12)))</f>
        <v>454</v>
      </c>
      <c r="X12" s="15"/>
      <c r="Y12" s="7">
        <f t="shared" si="9"/>
        <v>0</v>
      </c>
      <c r="Z12" s="7">
        <f>SUM($Y$5:$Y12)</f>
        <v>1202</v>
      </c>
      <c r="AA12" s="43">
        <f>IF(Z11&gt;$X$28,0,IF(SUM($AA$5:$AA11)=$X$28,0,IF(Z12&gt;$X$28,(Z11-$X$28)*-1,Y12)))</f>
        <v>0</v>
      </c>
      <c r="AB12" s="51"/>
      <c r="AC12" s="7">
        <f t="shared" si="10"/>
        <v>0</v>
      </c>
      <c r="AD12" s="7">
        <f>SUM($AC$5:$AC12)</f>
        <v>513</v>
      </c>
      <c r="AE12" s="43">
        <f>IF(AD11&gt;$AB$28,0,IF(SUM($AE$5:$AE11)=$AB$28,0,IF(AD12&gt;$AB$28,(AD11-$AB$28)*-1,AC12)))</f>
        <v>0</v>
      </c>
      <c r="AF12" s="51"/>
      <c r="AG12" s="7">
        <f t="shared" si="11"/>
        <v>0</v>
      </c>
      <c r="AH12" s="7">
        <f>SUM($AG$5:$AG12)</f>
        <v>256</v>
      </c>
      <c r="AI12" s="43">
        <f>IF(AH11&gt;$AF$28,0,IF(SUM($AI$5:$AI11)=$AF$28,0,IF(AH12&gt;$AF$28,(AH11-$AF$28)*-1,AG12)))</f>
        <v>0</v>
      </c>
      <c r="AJ12" s="51"/>
      <c r="AK12" s="7">
        <f t="shared" si="12"/>
        <v>0</v>
      </c>
      <c r="AL12" s="7">
        <f>SUM($Y$5:$Y12)</f>
        <v>1202</v>
      </c>
      <c r="AM12" s="43">
        <f>IF(AL11&gt;$AJ$28,0,IF(SUM($AM$5:$AM11)=$AJ$28,0,IF(AL12&gt;$AJ$28,(AL11-$AJ$28)*-1,AK12)))</f>
        <v>0</v>
      </c>
      <c r="AN12" s="15">
        <v>1</v>
      </c>
      <c r="AO12" s="15">
        <v>1</v>
      </c>
      <c r="AP12" s="43">
        <f t="shared" si="24"/>
        <v>135</v>
      </c>
      <c r="AQ12" s="15">
        <v>1</v>
      </c>
      <c r="AR12" s="7">
        <f t="shared" si="13"/>
        <v>45</v>
      </c>
      <c r="AS12" s="7">
        <f>SUM($AR$5:$AR12)</f>
        <v>707</v>
      </c>
      <c r="AT12" s="43">
        <f>IF(AS11&gt;$AQ$28,0,IF(SUM($AT$5:$AT11)=$AQ$28,0,IF(AS12&gt;$AQ$28,(AS11-$AQ$28)*-1,AR12)))</f>
        <v>45</v>
      </c>
      <c r="AU12" s="15">
        <v>1</v>
      </c>
      <c r="AV12" s="7">
        <f t="shared" si="14"/>
        <v>45</v>
      </c>
      <c r="AW12" s="7">
        <f>SUM($AV$5:$AV12)</f>
        <v>189</v>
      </c>
      <c r="AX12" s="43">
        <f>IF(AW11&gt;$AU$28,0,IF(SUM($AX$5:$AX11)=$AU$28,0,IF(AW12&gt;$AU$28,(AW11-$AU$28)*-1,AV12)))</f>
        <v>45</v>
      </c>
      <c r="AY12" s="15">
        <v>1</v>
      </c>
      <c r="AZ12" s="43">
        <f t="shared" si="15"/>
        <v>50</v>
      </c>
      <c r="BA12" s="55">
        <f t="shared" si="16"/>
        <v>3671</v>
      </c>
      <c r="BB12" s="56"/>
      <c r="BC12" s="57">
        <f t="shared" si="17"/>
        <v>0</v>
      </c>
      <c r="BD12" s="15"/>
      <c r="BE12" s="43">
        <f t="shared" si="18"/>
        <v>0</v>
      </c>
      <c r="BF12" s="57" t="str">
        <f t="shared" si="19"/>
        <v/>
      </c>
      <c r="BG12" s="57">
        <f t="shared" si="20"/>
        <v>3671</v>
      </c>
      <c r="BI12" s="57" t="str">
        <f t="shared" si="21"/>
        <v/>
      </c>
      <c r="BJ12" s="57">
        <f t="shared" si="22"/>
        <v>3338</v>
      </c>
    </row>
    <row r="13" ht="24" customHeight="1" spans="1:62">
      <c r="A13" s="12"/>
      <c r="B13" s="19" t="s">
        <v>75</v>
      </c>
      <c r="C13" s="14" t="s">
        <v>76</v>
      </c>
      <c r="D13" s="15">
        <v>1</v>
      </c>
      <c r="E13" s="16">
        <v>4980</v>
      </c>
      <c r="F13" s="15"/>
      <c r="G13" s="15"/>
      <c r="H13" s="18"/>
      <c r="I13" s="17"/>
      <c r="J13" s="41">
        <f t="shared" si="0"/>
        <v>4980</v>
      </c>
      <c r="K13" s="42">
        <f t="shared" si="1"/>
        <v>4980</v>
      </c>
      <c r="L13" s="42">
        <f t="shared" si="2"/>
        <v>4980</v>
      </c>
      <c r="M13" s="15"/>
      <c r="N13" s="43">
        <f t="shared" si="3"/>
        <v>49</v>
      </c>
      <c r="O13" s="7">
        <f>$O$5</f>
        <v>11</v>
      </c>
      <c r="P13" s="7">
        <f t="shared" si="23"/>
        <v>547</v>
      </c>
      <c r="Q13" s="7">
        <f t="shared" si="4"/>
        <v>0</v>
      </c>
      <c r="R13" s="7">
        <f t="shared" si="5"/>
        <v>596</v>
      </c>
      <c r="S13" s="7">
        <f t="shared" si="6"/>
        <v>10</v>
      </c>
      <c r="T13" s="7">
        <f t="shared" si="7"/>
        <v>9</v>
      </c>
      <c r="U13" s="7">
        <f t="shared" si="25"/>
        <v>452</v>
      </c>
      <c r="V13" s="7">
        <f>SUM($U$5:$U13)</f>
        <v>6981</v>
      </c>
      <c r="W13" s="43">
        <f>IF(V12&gt;7000,0,IF(SUM($W$5:$W12)=7000,0,IF(V13&gt;7000,(V12-7000)*-1,U13)))</f>
        <v>452</v>
      </c>
      <c r="X13" s="15"/>
      <c r="Y13" s="7">
        <f t="shared" si="9"/>
        <v>0</v>
      </c>
      <c r="Z13" s="7">
        <f>SUM($Y$5:$Y13)</f>
        <v>1202</v>
      </c>
      <c r="AA13" s="43">
        <f>IF(Z12&gt;$X$28,0,IF(SUM($AA$5:$AA12)=$X$28,0,IF(Z13&gt;$X$28,(Z12-$X$28)*-1,Y13)))</f>
        <v>0</v>
      </c>
      <c r="AB13" s="51"/>
      <c r="AC13" s="7">
        <f t="shared" si="10"/>
        <v>0</v>
      </c>
      <c r="AD13" s="7">
        <f>SUM($AC$5:$AC13)</f>
        <v>513</v>
      </c>
      <c r="AE13" s="43">
        <f>IF(AD12&gt;$AB$28,0,IF(SUM($AE$5:$AE12)=$AB$28,0,IF(AD13&gt;$AB$28,(AD12-$AB$28)*-1,AC13)))</f>
        <v>0</v>
      </c>
      <c r="AF13" s="51"/>
      <c r="AG13" s="7">
        <f t="shared" si="11"/>
        <v>0</v>
      </c>
      <c r="AH13" s="7">
        <f>SUM($AG$5:$AG13)</f>
        <v>256</v>
      </c>
      <c r="AI13" s="43">
        <f>IF(AH12&gt;$AF$28,0,IF(SUM($AI$5:$AI12)=$AF$28,0,IF(AH13&gt;$AF$28,(AH12-$AF$28)*-1,AG13)))</f>
        <v>0</v>
      </c>
      <c r="AJ13" s="51"/>
      <c r="AK13" s="7">
        <f t="shared" si="12"/>
        <v>0</v>
      </c>
      <c r="AL13" s="7">
        <f>SUM($Y$5:$Y13)</f>
        <v>1202</v>
      </c>
      <c r="AM13" s="43">
        <f>IF(AL12&gt;$AJ$28,0,IF(SUM($AM$5:$AM12)=$AJ$28,0,IF(AL13&gt;$AJ$28,(AL12-$AJ$28)*-1,AK13)))</f>
        <v>0</v>
      </c>
      <c r="AN13" s="15"/>
      <c r="AO13" s="15">
        <v>1</v>
      </c>
      <c r="AP13" s="43">
        <f t="shared" si="24"/>
        <v>45</v>
      </c>
      <c r="AQ13" s="15"/>
      <c r="AR13" s="7">
        <f t="shared" si="13"/>
        <v>0</v>
      </c>
      <c r="AS13" s="7">
        <f>SUM($AR$5:$AR13)</f>
        <v>707</v>
      </c>
      <c r="AT13" s="43">
        <f>IF(AS12&gt;$AQ$28,0,IF(SUM($AT$5:$AT12)=$AQ$28,0,IF(AS13&gt;$AQ$28,(AS12-$AQ$28)*-1,AR13)))</f>
        <v>0</v>
      </c>
      <c r="AU13" s="15">
        <v>3</v>
      </c>
      <c r="AV13" s="7">
        <f t="shared" si="14"/>
        <v>135</v>
      </c>
      <c r="AW13" s="7">
        <f>SUM($AV$5:$AV13)</f>
        <v>324</v>
      </c>
      <c r="AX13" s="43">
        <f>IF(AW12&gt;$AU$28,0,IF(SUM($AX$5:$AX12)=$AU$28,0,IF(AW13&gt;$AU$28,(AW12-$AU$28)*-1,AV13)))</f>
        <v>135</v>
      </c>
      <c r="AY13" s="15">
        <v>1</v>
      </c>
      <c r="AZ13" s="43">
        <f t="shared" si="15"/>
        <v>49</v>
      </c>
      <c r="BA13" s="55">
        <f t="shared" si="16"/>
        <v>3703</v>
      </c>
      <c r="BB13" s="56"/>
      <c r="BC13" s="57">
        <f t="shared" si="17"/>
        <v>0</v>
      </c>
      <c r="BD13" s="15"/>
      <c r="BE13" s="43">
        <f t="shared" si="18"/>
        <v>0</v>
      </c>
      <c r="BF13" s="57" t="str">
        <f t="shared" si="19"/>
        <v/>
      </c>
      <c r="BG13" s="57">
        <f t="shared" si="20"/>
        <v>3703</v>
      </c>
      <c r="BI13" s="57" t="str">
        <f t="shared" si="21"/>
        <v/>
      </c>
      <c r="BJ13" s="57">
        <f t="shared" si="22"/>
        <v>3367</v>
      </c>
    </row>
    <row r="14" ht="24" customHeight="1" spans="1:62">
      <c r="A14" s="12"/>
      <c r="B14" s="19" t="s">
        <v>77</v>
      </c>
      <c r="C14" s="14" t="s">
        <v>78</v>
      </c>
      <c r="D14" s="15">
        <v>1</v>
      </c>
      <c r="E14" s="16">
        <v>3980</v>
      </c>
      <c r="F14" s="15"/>
      <c r="G14" s="15"/>
      <c r="H14" s="18"/>
      <c r="I14" s="17"/>
      <c r="J14" s="41">
        <f t="shared" si="0"/>
        <v>3980</v>
      </c>
      <c r="K14" s="42">
        <f t="shared" si="1"/>
        <v>3980</v>
      </c>
      <c r="L14" s="42">
        <f t="shared" si="2"/>
        <v>3980</v>
      </c>
      <c r="M14" s="15"/>
      <c r="N14" s="43">
        <f t="shared" si="3"/>
        <v>39</v>
      </c>
      <c r="O14" s="7">
        <f>$O$5</f>
        <v>11</v>
      </c>
      <c r="P14" s="7">
        <f t="shared" si="23"/>
        <v>437</v>
      </c>
      <c r="Q14" s="7">
        <f t="shared" si="4"/>
        <v>0</v>
      </c>
      <c r="R14" s="7">
        <f t="shared" si="5"/>
        <v>476</v>
      </c>
      <c r="S14" s="7">
        <f t="shared" si="6"/>
        <v>10</v>
      </c>
      <c r="T14" s="7">
        <f t="shared" si="7"/>
        <v>9</v>
      </c>
      <c r="U14" s="7">
        <f t="shared" si="25"/>
        <v>361</v>
      </c>
      <c r="V14" s="7">
        <f>SUM($U$5:$U14)</f>
        <v>7342</v>
      </c>
      <c r="W14" s="43">
        <f>IF(V13&gt;7000,0,IF(SUM($W$5:$W13)=7000,0,IF(V14&gt;7000,(V13-7000)*-1,U14)))</f>
        <v>19</v>
      </c>
      <c r="X14" s="15"/>
      <c r="Y14" s="7">
        <f t="shared" si="9"/>
        <v>0</v>
      </c>
      <c r="Z14" s="7">
        <f>SUM($Y$5:$Y14)</f>
        <v>1202</v>
      </c>
      <c r="AA14" s="43">
        <f>IF(Z13&gt;$X$28,0,IF(SUM($AA$5:$AA13)=$X$28,0,IF(Z14&gt;$X$28,(Z13-$X$28)*-1,Y14)))</f>
        <v>0</v>
      </c>
      <c r="AB14" s="51"/>
      <c r="AC14" s="7">
        <f t="shared" si="10"/>
        <v>0</v>
      </c>
      <c r="AD14" s="7">
        <f>SUM($AC$5:$AC14)</f>
        <v>513</v>
      </c>
      <c r="AE14" s="43">
        <f>IF(AD13&gt;$AB$28,0,IF(SUM($AE$5:$AE13)=$AB$28,0,IF(AD14&gt;$AB$28,(AD13-$AB$28)*-1,AC14)))</f>
        <v>0</v>
      </c>
      <c r="AF14" s="51"/>
      <c r="AG14" s="7">
        <f t="shared" si="11"/>
        <v>0</v>
      </c>
      <c r="AH14" s="7">
        <f>SUM($AG$5:$AG14)</f>
        <v>256</v>
      </c>
      <c r="AI14" s="43">
        <f>IF(AH13&gt;$AF$28,0,IF(SUM($AI$5:$AI13)=$AF$28,0,IF(AH14&gt;$AF$28,(AH13-$AF$28)*-1,AG14)))</f>
        <v>0</v>
      </c>
      <c r="AJ14" s="51"/>
      <c r="AK14" s="7">
        <f t="shared" si="12"/>
        <v>0</v>
      </c>
      <c r="AL14" s="7">
        <f>SUM($Y$5:$Y14)</f>
        <v>1202</v>
      </c>
      <c r="AM14" s="43">
        <f>IF(AL13&gt;$AJ$28,0,IF(SUM($AM$5:$AM13)=$AJ$28,0,IF(AL14&gt;$AJ$28,(AL13-$AJ$28)*-1,AK14)))</f>
        <v>0</v>
      </c>
      <c r="AN14" s="15"/>
      <c r="AO14" s="15">
        <v>1</v>
      </c>
      <c r="AP14" s="43">
        <f t="shared" si="24"/>
        <v>36</v>
      </c>
      <c r="AQ14" s="15"/>
      <c r="AR14" s="7">
        <f t="shared" si="13"/>
        <v>0</v>
      </c>
      <c r="AS14" s="7">
        <f>SUM($AR$5:$AR14)</f>
        <v>707</v>
      </c>
      <c r="AT14" s="43">
        <f>IF(AS13&gt;$AQ$28,0,IF(SUM($AT$5:$AT13)=$AQ$28,0,IF(AS14&gt;$AQ$28,(AS13-$AQ$28)*-1,AR14)))</f>
        <v>0</v>
      </c>
      <c r="AU14" s="15">
        <v>3</v>
      </c>
      <c r="AV14" s="7">
        <f t="shared" si="14"/>
        <v>108</v>
      </c>
      <c r="AW14" s="7">
        <f>SUM($AV$5:$AV14)</f>
        <v>432</v>
      </c>
      <c r="AX14" s="43">
        <f>IF(AW13&gt;$AU$28,0,IF(SUM($AX$5:$AX13)=$AU$28,0,IF(AW14&gt;$AU$28,(AW13-$AU$28)*-1,AV14)))</f>
        <v>108</v>
      </c>
      <c r="AY14" s="15">
        <v>1</v>
      </c>
      <c r="AZ14" s="43">
        <f t="shared" si="15"/>
        <v>39</v>
      </c>
      <c r="BA14" s="55">
        <f t="shared" si="16"/>
        <v>3302</v>
      </c>
      <c r="BB14" s="56"/>
      <c r="BC14" s="57">
        <f t="shared" si="17"/>
        <v>0</v>
      </c>
      <c r="BD14" s="15"/>
      <c r="BE14" s="43">
        <f t="shared" si="18"/>
        <v>0</v>
      </c>
      <c r="BF14" s="57" t="str">
        <f t="shared" si="19"/>
        <v/>
      </c>
      <c r="BG14" s="57">
        <f t="shared" si="20"/>
        <v>3302</v>
      </c>
      <c r="BI14" s="57" t="str">
        <f t="shared" si="21"/>
        <v/>
      </c>
      <c r="BJ14" s="57">
        <f t="shared" si="22"/>
        <v>3002</v>
      </c>
    </row>
    <row r="15" ht="24" customHeight="1" spans="1:62">
      <c r="A15" s="12"/>
      <c r="B15" s="22" t="s">
        <v>79</v>
      </c>
      <c r="C15" s="14" t="s">
        <v>80</v>
      </c>
      <c r="D15" s="15">
        <v>1</v>
      </c>
      <c r="E15" s="16">
        <v>4500</v>
      </c>
      <c r="F15" s="15"/>
      <c r="G15" s="15"/>
      <c r="H15" s="18"/>
      <c r="I15" s="17"/>
      <c r="J15" s="41">
        <f t="shared" si="0"/>
        <v>4500</v>
      </c>
      <c r="K15" s="42">
        <f t="shared" si="1"/>
        <v>4500</v>
      </c>
      <c r="L15" s="42">
        <f t="shared" si="2"/>
        <v>4500</v>
      </c>
      <c r="M15" s="15"/>
      <c r="N15" s="43">
        <f t="shared" si="3"/>
        <v>45</v>
      </c>
      <c r="O15" s="7">
        <f>$O$5</f>
        <v>11</v>
      </c>
      <c r="P15" s="7">
        <f t="shared" si="23"/>
        <v>495</v>
      </c>
      <c r="Q15" s="7">
        <f t="shared" si="4"/>
        <v>0</v>
      </c>
      <c r="R15" s="7">
        <f t="shared" si="5"/>
        <v>540</v>
      </c>
      <c r="S15" s="7">
        <f t="shared" si="6"/>
        <v>10</v>
      </c>
      <c r="T15" s="7">
        <f t="shared" si="7"/>
        <v>9</v>
      </c>
      <c r="U15" s="7">
        <f t="shared" si="25"/>
        <v>409</v>
      </c>
      <c r="V15" s="7">
        <f>SUM($U$5:$U15)</f>
        <v>7751</v>
      </c>
      <c r="W15" s="43">
        <f>IF(V14&gt;7000,0,IF(SUM($W$5:$W14)=7000,0,IF(V15&gt;7000,(V14-7000)*-1,U15)))</f>
        <v>0</v>
      </c>
      <c r="X15" s="15"/>
      <c r="Y15" s="7">
        <f t="shared" si="9"/>
        <v>0</v>
      </c>
      <c r="Z15" s="7">
        <f>SUM($Y$5:$Y15)</f>
        <v>1202</v>
      </c>
      <c r="AA15" s="43">
        <f>IF(Z14&gt;$X$28,0,IF(SUM($AA$5:$AA14)=$X$28,0,IF(Z15&gt;$X$28,(Z14-$X$28)*-1,Y15)))</f>
        <v>0</v>
      </c>
      <c r="AB15" s="51"/>
      <c r="AC15" s="7">
        <f t="shared" si="10"/>
        <v>0</v>
      </c>
      <c r="AD15" s="7">
        <f>SUM($AC$5:$AC15)</f>
        <v>513</v>
      </c>
      <c r="AE15" s="43">
        <f>IF(AD14&gt;$AB$28,0,IF(SUM($AE$5:$AE14)=$AB$28,0,IF(AD15&gt;$AB$28,(AD14-$AB$28)*-1,AC15)))</f>
        <v>0</v>
      </c>
      <c r="AF15" s="51"/>
      <c r="AG15" s="7">
        <f t="shared" si="11"/>
        <v>0</v>
      </c>
      <c r="AH15" s="7">
        <f>SUM($AG$5:$AG15)</f>
        <v>256</v>
      </c>
      <c r="AI15" s="43">
        <f>IF(AH14&gt;$AF$28,0,IF(SUM($AI$5:$AI14)=$AF$28,0,IF(AH15&gt;$AF$28,(AH14-$AF$28)*-1,AG15)))</f>
        <v>0</v>
      </c>
      <c r="AJ15" s="51"/>
      <c r="AK15" s="7">
        <f t="shared" si="12"/>
        <v>0</v>
      </c>
      <c r="AL15" s="7">
        <f>SUM($Y$5:$Y15)</f>
        <v>1202</v>
      </c>
      <c r="AM15" s="43">
        <f>IF(AL14&gt;$AJ$28,0,IF(SUM($AM$5:$AM14)=$AJ$28,0,IF(AL15&gt;$AJ$28,(AL14-$AJ$28)*-1,AK15)))</f>
        <v>0</v>
      </c>
      <c r="AN15" s="15"/>
      <c r="AO15" s="15">
        <v>1</v>
      </c>
      <c r="AP15" s="43">
        <f t="shared" si="24"/>
        <v>40</v>
      </c>
      <c r="AQ15" s="15"/>
      <c r="AR15" s="7">
        <f t="shared" si="13"/>
        <v>0</v>
      </c>
      <c r="AS15" s="7">
        <f>SUM($AR$5:$AR15)</f>
        <v>707</v>
      </c>
      <c r="AT15" s="43">
        <f>IF(AS14&gt;$AQ$28,0,IF(SUM($AT$5:$AT14)=$AQ$28,0,IF(AS15&gt;$AQ$28,(AS14-$AQ$28)*-1,AR15)))</f>
        <v>0</v>
      </c>
      <c r="AU15" s="15"/>
      <c r="AV15" s="7">
        <f t="shared" si="14"/>
        <v>0</v>
      </c>
      <c r="AW15" s="7">
        <f>SUM($AV$5:$AV15)</f>
        <v>432</v>
      </c>
      <c r="AX15" s="43">
        <f>IF(AW14&gt;$AU$28,0,IF(SUM($AX$5:$AX14)=$AU$28,0,IF(AW15&gt;$AU$28,(AW14-$AU$28)*-1,AV15)))</f>
        <v>0</v>
      </c>
      <c r="AY15" s="15">
        <v>1</v>
      </c>
      <c r="AZ15" s="43">
        <f t="shared" si="15"/>
        <v>45</v>
      </c>
      <c r="BA15" s="55">
        <f t="shared" si="16"/>
        <v>3875</v>
      </c>
      <c r="BB15" s="56"/>
      <c r="BC15" s="57">
        <f t="shared" si="17"/>
        <v>0</v>
      </c>
      <c r="BD15" s="15"/>
      <c r="BE15" s="43">
        <f t="shared" si="18"/>
        <v>0</v>
      </c>
      <c r="BF15" s="57" t="str">
        <f t="shared" si="19"/>
        <v/>
      </c>
      <c r="BG15" s="57">
        <f t="shared" si="20"/>
        <v>3875</v>
      </c>
      <c r="BI15" s="57" t="str">
        <f t="shared" si="21"/>
        <v/>
      </c>
      <c r="BJ15" s="57">
        <f t="shared" si="22"/>
        <v>3523</v>
      </c>
    </row>
    <row r="16" ht="24" customHeight="1" spans="1:62">
      <c r="A16" s="12"/>
      <c r="B16" s="23"/>
      <c r="C16" s="14"/>
      <c r="D16" s="15"/>
      <c r="E16" s="16"/>
      <c r="F16" s="15"/>
      <c r="G16" s="15"/>
      <c r="H16" s="18"/>
      <c r="I16" s="17"/>
      <c r="J16" s="41">
        <f t="shared" si="0"/>
        <v>0</v>
      </c>
      <c r="K16" s="42">
        <f t="shared" si="1"/>
        <v>0</v>
      </c>
      <c r="L16" s="42">
        <f t="shared" si="2"/>
        <v>0</v>
      </c>
      <c r="M16" s="15"/>
      <c r="N16" s="43">
        <f t="shared" si="3"/>
        <v>0</v>
      </c>
      <c r="O16" s="7">
        <f>$O$5</f>
        <v>11</v>
      </c>
      <c r="P16" s="7">
        <f t="shared" si="23"/>
        <v>0</v>
      </c>
      <c r="Q16" s="7">
        <f t="shared" si="4"/>
        <v>0</v>
      </c>
      <c r="R16" s="7">
        <f t="shared" si="5"/>
        <v>0</v>
      </c>
      <c r="S16" s="7">
        <f t="shared" si="6"/>
        <v>10</v>
      </c>
      <c r="T16" s="7">
        <f t="shared" si="7"/>
        <v>9</v>
      </c>
      <c r="U16" s="7">
        <f t="shared" si="25"/>
        <v>0</v>
      </c>
      <c r="V16" s="7">
        <f>SUM($U$5:$U16)</f>
        <v>7751</v>
      </c>
      <c r="W16" s="43">
        <f>IF(V15&gt;7000,0,IF(SUM($W$5:$W15)=7000,0,IF(V16&gt;7000,(V15-7000)*-1,U16)))</f>
        <v>0</v>
      </c>
      <c r="X16" s="15"/>
      <c r="Y16" s="7">
        <f t="shared" si="9"/>
        <v>0</v>
      </c>
      <c r="Z16" s="7">
        <f>SUM($Y$5:$Y16)</f>
        <v>1202</v>
      </c>
      <c r="AA16" s="43">
        <f>IF(Z15&gt;$X$28,0,IF(SUM($AA$5:$AA15)=$X$28,0,IF(Z16&gt;$X$28,(Z15-$X$28)*-1,Y16)))</f>
        <v>0</v>
      </c>
      <c r="AB16" s="51"/>
      <c r="AC16" s="7">
        <f t="shared" si="10"/>
        <v>0</v>
      </c>
      <c r="AD16" s="7">
        <f>SUM($AC$5:$AC16)</f>
        <v>513</v>
      </c>
      <c r="AE16" s="43">
        <f>IF(AD15&gt;$AB$28,0,IF(SUM($AE$5:$AE15)=$AB$28,0,IF(AD16&gt;$AB$28,(AD15-$AB$28)*-1,AC16)))</f>
        <v>0</v>
      </c>
      <c r="AF16" s="51"/>
      <c r="AG16" s="7">
        <f t="shared" si="11"/>
        <v>0</v>
      </c>
      <c r="AH16" s="7">
        <f>SUM($AG$5:$AG16)</f>
        <v>256</v>
      </c>
      <c r="AI16" s="43">
        <f>IF(AH15&gt;$AF$28,0,IF(SUM($AI$5:$AI15)=$AF$28,0,IF(AH16&gt;$AF$28,(AH15-$AF$28)*-1,AG16)))</f>
        <v>0</v>
      </c>
      <c r="AJ16" s="51"/>
      <c r="AK16" s="7">
        <f t="shared" si="12"/>
        <v>0</v>
      </c>
      <c r="AL16" s="7">
        <f>SUM($Y$5:$Y16)</f>
        <v>1202</v>
      </c>
      <c r="AM16" s="43">
        <f>IF(AL15&gt;$AJ$28,0,IF(SUM($AM$5:$AM15)=$AJ$28,0,IF(AL16&gt;$AJ$28,(AL15-$AJ$28)*-1,AK16)))</f>
        <v>0</v>
      </c>
      <c r="AN16" s="15"/>
      <c r="AO16" s="15"/>
      <c r="AP16" s="43">
        <f t="shared" si="24"/>
        <v>0</v>
      </c>
      <c r="AQ16" s="15"/>
      <c r="AR16" s="7">
        <f t="shared" si="13"/>
        <v>0</v>
      </c>
      <c r="AS16" s="7">
        <f>SUM($AR$5:$AR16)</f>
        <v>707</v>
      </c>
      <c r="AT16" s="43">
        <f>IF(AS15&gt;$AQ$28,0,IF(SUM($AT$5:$AT15)=$AQ$28,0,IF(AS16&gt;$AQ$28,(AS15-$AQ$28)*-1,AR16)))</f>
        <v>0</v>
      </c>
      <c r="AU16" s="15"/>
      <c r="AV16" s="7">
        <f t="shared" si="14"/>
        <v>0</v>
      </c>
      <c r="AW16" s="7">
        <f>SUM($AV$5:$AV16)</f>
        <v>432</v>
      </c>
      <c r="AX16" s="43">
        <f>IF(AW15&gt;$AU$28,0,IF(SUM($AX$5:$AX15)=$AU$28,0,IF(AW16&gt;$AU$28,(AW15-$AU$28)*-1,AV16)))</f>
        <v>0</v>
      </c>
      <c r="AY16" s="15"/>
      <c r="AZ16" s="43">
        <f t="shared" si="15"/>
        <v>0</v>
      </c>
      <c r="BA16" s="55">
        <f t="shared" si="16"/>
        <v>0</v>
      </c>
      <c r="BB16" s="56"/>
      <c r="BC16" s="57">
        <f t="shared" si="17"/>
        <v>0</v>
      </c>
      <c r="BD16" s="15"/>
      <c r="BE16" s="43">
        <f t="shared" si="18"/>
        <v>0</v>
      </c>
      <c r="BF16" s="57" t="str">
        <f t="shared" si="19"/>
        <v/>
      </c>
      <c r="BG16" s="57" t="str">
        <f t="shared" si="20"/>
        <v/>
      </c>
      <c r="BI16" s="57" t="str">
        <f t="shared" si="21"/>
        <v/>
      </c>
      <c r="BJ16" s="57" t="str">
        <f t="shared" si="22"/>
        <v/>
      </c>
    </row>
    <row r="17" ht="24" customHeight="1" spans="1:62">
      <c r="A17" s="12"/>
      <c r="B17" s="24"/>
      <c r="C17" s="14"/>
      <c r="D17" s="15"/>
      <c r="E17" s="16"/>
      <c r="F17" s="15"/>
      <c r="G17" s="15"/>
      <c r="H17" s="18"/>
      <c r="I17" s="17"/>
      <c r="J17" s="41">
        <f t="shared" si="0"/>
        <v>0</v>
      </c>
      <c r="K17" s="42">
        <f t="shared" si="1"/>
        <v>0</v>
      </c>
      <c r="L17" s="42">
        <f t="shared" si="2"/>
        <v>0</v>
      </c>
      <c r="M17" s="15"/>
      <c r="N17" s="43">
        <f t="shared" si="3"/>
        <v>0</v>
      </c>
      <c r="O17" s="7">
        <f>$O$5</f>
        <v>11</v>
      </c>
      <c r="P17" s="7">
        <f t="shared" si="23"/>
        <v>0</v>
      </c>
      <c r="Q17" s="7">
        <f t="shared" si="4"/>
        <v>0</v>
      </c>
      <c r="R17" s="7">
        <f t="shared" si="5"/>
        <v>0</v>
      </c>
      <c r="S17" s="7">
        <f t="shared" si="6"/>
        <v>10</v>
      </c>
      <c r="T17" s="7">
        <f t="shared" si="7"/>
        <v>9</v>
      </c>
      <c r="U17" s="7">
        <f t="shared" si="25"/>
        <v>0</v>
      </c>
      <c r="V17" s="7">
        <f>SUM($U$5:$U17)</f>
        <v>7751</v>
      </c>
      <c r="W17" s="43">
        <f>IF(V16&gt;7000,0,IF(SUM($W$5:$W16)=7000,0,IF(V17&gt;7000,(V16-7000)*-1,U17)))</f>
        <v>0</v>
      </c>
      <c r="X17" s="15"/>
      <c r="Y17" s="7">
        <f t="shared" si="9"/>
        <v>0</v>
      </c>
      <c r="Z17" s="7">
        <f>SUM($Y$5:$Y17)</f>
        <v>1202</v>
      </c>
      <c r="AA17" s="43">
        <f>IF(Z16&gt;$X$28,0,IF(SUM($AA$5:$AA16)=$X$28,0,IF(Z17&gt;$X$28,(Z16-$X$28)*-1,Y17)))</f>
        <v>0</v>
      </c>
      <c r="AB17" s="51"/>
      <c r="AC17" s="7">
        <f t="shared" si="10"/>
        <v>0</v>
      </c>
      <c r="AD17" s="7">
        <f>SUM($AC$5:$AC17)</f>
        <v>513</v>
      </c>
      <c r="AE17" s="43">
        <f>IF(AD16&gt;$AB$28,0,IF(SUM($AE$5:$AE16)=$AB$28,0,IF(AD17&gt;$AB$28,(AD16-$AB$28)*-1,AC17)))</f>
        <v>0</v>
      </c>
      <c r="AF17" s="51"/>
      <c r="AG17" s="7">
        <f t="shared" si="11"/>
        <v>0</v>
      </c>
      <c r="AH17" s="7">
        <f>SUM($AG$5:$AG17)</f>
        <v>256</v>
      </c>
      <c r="AI17" s="43">
        <f>IF(AH16&gt;$AF$28,0,IF(SUM($AI$5:$AI16)=$AF$28,0,IF(AH17&gt;$AF$28,(AH16-$AF$28)*-1,AG17)))</f>
        <v>0</v>
      </c>
      <c r="AJ17" s="51"/>
      <c r="AK17" s="7">
        <f t="shared" si="12"/>
        <v>0</v>
      </c>
      <c r="AL17" s="7">
        <f>SUM($Y$5:$Y17)</f>
        <v>1202</v>
      </c>
      <c r="AM17" s="43">
        <f>IF(AL16&gt;$AJ$28,0,IF(SUM($AM$5:$AM16)=$AJ$28,0,IF(AL17&gt;$AJ$28,(AL16-$AJ$28)*-1,AK17)))</f>
        <v>0</v>
      </c>
      <c r="AN17" s="15"/>
      <c r="AO17" s="15"/>
      <c r="AP17" s="43">
        <f t="shared" si="24"/>
        <v>0</v>
      </c>
      <c r="AQ17" s="15"/>
      <c r="AR17" s="7">
        <f t="shared" si="13"/>
        <v>0</v>
      </c>
      <c r="AS17" s="7">
        <f>SUM($AR$5:$AR17)</f>
        <v>707</v>
      </c>
      <c r="AT17" s="43">
        <f>IF(AS16&gt;$AQ$28,0,IF(SUM($AT$5:$AT16)=$AQ$28,0,IF(AS17&gt;$AQ$28,(AS16-$AQ$28)*-1,AR17)))</f>
        <v>0</v>
      </c>
      <c r="AU17" s="15"/>
      <c r="AV17" s="7">
        <f t="shared" si="14"/>
        <v>0</v>
      </c>
      <c r="AW17" s="7">
        <f>SUM($AV$5:$AV17)</f>
        <v>432</v>
      </c>
      <c r="AX17" s="43">
        <f>IF(AW16&gt;$AU$28,0,IF(SUM($AX$5:$AX16)=$AU$28,0,IF(AW17&gt;$AU$28,(AW16-$AU$28)*-1,AV17)))</f>
        <v>0</v>
      </c>
      <c r="AY17" s="15"/>
      <c r="AZ17" s="43">
        <f t="shared" si="15"/>
        <v>0</v>
      </c>
      <c r="BA17" s="55">
        <f t="shared" si="16"/>
        <v>0</v>
      </c>
      <c r="BB17" s="56"/>
      <c r="BC17" s="57">
        <f t="shared" si="17"/>
        <v>0</v>
      </c>
      <c r="BD17" s="58"/>
      <c r="BE17" s="43">
        <f t="shared" si="18"/>
        <v>0</v>
      </c>
      <c r="BF17" s="57" t="str">
        <f t="shared" si="19"/>
        <v/>
      </c>
      <c r="BG17" s="57" t="str">
        <f t="shared" si="20"/>
        <v/>
      </c>
      <c r="BI17" s="57" t="str">
        <f t="shared" si="21"/>
        <v/>
      </c>
      <c r="BJ17" s="57" t="str">
        <f t="shared" si="22"/>
        <v/>
      </c>
    </row>
    <row r="18" ht="24" customHeight="1" spans="1:62">
      <c r="A18" s="12"/>
      <c r="B18" s="25"/>
      <c r="C18" s="14"/>
      <c r="D18" s="15"/>
      <c r="E18" s="16"/>
      <c r="F18" s="15"/>
      <c r="G18" s="15"/>
      <c r="H18" s="18"/>
      <c r="I18" s="17"/>
      <c r="J18" s="41">
        <f t="shared" si="0"/>
        <v>0</v>
      </c>
      <c r="K18" s="42">
        <f t="shared" si="1"/>
        <v>0</v>
      </c>
      <c r="L18" s="42">
        <f t="shared" si="2"/>
        <v>0</v>
      </c>
      <c r="M18" s="15"/>
      <c r="N18" s="43">
        <f t="shared" si="3"/>
        <v>0</v>
      </c>
      <c r="O18" s="7">
        <f>$O$5</f>
        <v>11</v>
      </c>
      <c r="P18" s="7">
        <f t="shared" si="23"/>
        <v>0</v>
      </c>
      <c r="Q18" s="7">
        <f t="shared" si="4"/>
        <v>0</v>
      </c>
      <c r="R18" s="7">
        <f t="shared" si="5"/>
        <v>0</v>
      </c>
      <c r="S18" s="7">
        <f t="shared" si="6"/>
        <v>10</v>
      </c>
      <c r="T18" s="7">
        <f t="shared" si="7"/>
        <v>9</v>
      </c>
      <c r="U18" s="7">
        <f t="shared" si="25"/>
        <v>0</v>
      </c>
      <c r="V18" s="7">
        <f>SUM($U$5:$U18)</f>
        <v>7751</v>
      </c>
      <c r="W18" s="43">
        <f>IF(V17&gt;7000,0,IF(SUM($W$5:$W17)=7000,0,IF(V18&gt;7000,(V17-7000)*-1,U18)))</f>
        <v>0</v>
      </c>
      <c r="X18" s="15"/>
      <c r="Y18" s="7">
        <f t="shared" si="9"/>
        <v>0</v>
      </c>
      <c r="Z18" s="7">
        <f>SUM($Y$5:$Y18)</f>
        <v>1202</v>
      </c>
      <c r="AA18" s="43">
        <f>IF(Z17&gt;$X$28,0,IF(SUM($AA$5:$AA17)=$X$28,0,IF(Z18&gt;$X$28,(Z17-$X$28)*-1,Y18)))</f>
        <v>0</v>
      </c>
      <c r="AB18" s="51"/>
      <c r="AC18" s="7">
        <f t="shared" si="10"/>
        <v>0</v>
      </c>
      <c r="AD18" s="7">
        <f>SUM($AC$5:$AC18)</f>
        <v>513</v>
      </c>
      <c r="AE18" s="43">
        <f>IF(AD17&gt;$AB$28,0,IF(SUM($AE$5:$AE17)=$AB$28,0,IF(AD18&gt;$AB$28,(AD17-$AB$28)*-1,AC18)))</f>
        <v>0</v>
      </c>
      <c r="AF18" s="51"/>
      <c r="AG18" s="7">
        <f t="shared" si="11"/>
        <v>0</v>
      </c>
      <c r="AH18" s="7">
        <f>SUM($AG$5:$AG18)</f>
        <v>256</v>
      </c>
      <c r="AI18" s="43">
        <f>IF(AH17&gt;$AF$28,0,IF(SUM($AI$5:$AI17)=$AF$28,0,IF(AH18&gt;$AF$28,(AH17-$AF$28)*-1,AG18)))</f>
        <v>0</v>
      </c>
      <c r="AJ18" s="51"/>
      <c r="AK18" s="7">
        <f t="shared" si="12"/>
        <v>0</v>
      </c>
      <c r="AL18" s="7">
        <f>SUM($Y$5:$Y18)</f>
        <v>1202</v>
      </c>
      <c r="AM18" s="43">
        <f>IF(AL17&gt;$AJ$28,0,IF(SUM($AM$5:$AM17)=$AJ$28,0,IF(AL18&gt;$AJ$28,(AL17-$AJ$28)*-1,AK18)))</f>
        <v>0</v>
      </c>
      <c r="AN18" s="15"/>
      <c r="AO18" s="15"/>
      <c r="AP18" s="43">
        <f t="shared" si="24"/>
        <v>0</v>
      </c>
      <c r="AQ18" s="15"/>
      <c r="AR18" s="7">
        <f t="shared" si="13"/>
        <v>0</v>
      </c>
      <c r="AS18" s="7">
        <f>SUM($AR$5:$AR18)</f>
        <v>707</v>
      </c>
      <c r="AT18" s="43">
        <f>IF(AS17&gt;$AQ$28,0,IF(SUM($AT$5:$AT17)=$AQ$28,0,IF(AS18&gt;$AQ$28,(AS17-$AQ$28)*-1,AR18)))</f>
        <v>0</v>
      </c>
      <c r="AU18" s="15"/>
      <c r="AV18" s="7">
        <f t="shared" si="14"/>
        <v>0</v>
      </c>
      <c r="AW18" s="7">
        <f>SUM($AV$5:$AV18)</f>
        <v>432</v>
      </c>
      <c r="AX18" s="43">
        <f>IF(AW17&gt;$AU$28,0,IF(SUM($AX$5:$AX17)=$AU$28,0,IF(AW18&gt;$AU$28,(AW17-$AU$28)*-1,AV18)))</f>
        <v>0</v>
      </c>
      <c r="AY18" s="15"/>
      <c r="AZ18" s="43">
        <f t="shared" si="15"/>
        <v>0</v>
      </c>
      <c r="BA18" s="55">
        <f t="shared" si="16"/>
        <v>0</v>
      </c>
      <c r="BB18" s="56"/>
      <c r="BC18" s="57">
        <f t="shared" si="17"/>
        <v>0</v>
      </c>
      <c r="BD18" s="58"/>
      <c r="BE18" s="43">
        <f t="shared" si="18"/>
        <v>0</v>
      </c>
      <c r="BF18" s="57" t="str">
        <f t="shared" si="19"/>
        <v/>
      </c>
      <c r="BG18" s="57" t="str">
        <f t="shared" si="20"/>
        <v/>
      </c>
      <c r="BI18" s="57" t="str">
        <f t="shared" si="21"/>
        <v/>
      </c>
      <c r="BJ18" s="57" t="str">
        <f t="shared" si="22"/>
        <v/>
      </c>
    </row>
    <row r="19" ht="24" customHeight="1" spans="1:62">
      <c r="A19" s="12"/>
      <c r="B19" s="26"/>
      <c r="C19" s="14"/>
      <c r="D19" s="15"/>
      <c r="E19" s="16"/>
      <c r="F19" s="15"/>
      <c r="G19" s="15"/>
      <c r="H19" s="18"/>
      <c r="I19" s="17"/>
      <c r="J19" s="41">
        <f t="shared" si="0"/>
        <v>0</v>
      </c>
      <c r="K19" s="42">
        <f t="shared" si="1"/>
        <v>0</v>
      </c>
      <c r="L19" s="42">
        <f t="shared" si="2"/>
        <v>0</v>
      </c>
      <c r="M19" s="15"/>
      <c r="N19" s="43">
        <f t="shared" si="3"/>
        <v>0</v>
      </c>
      <c r="O19" s="7">
        <f>$O$5</f>
        <v>11</v>
      </c>
      <c r="P19" s="7">
        <f t="shared" si="23"/>
        <v>0</v>
      </c>
      <c r="Q19" s="7">
        <f t="shared" si="4"/>
        <v>0</v>
      </c>
      <c r="R19" s="7">
        <f t="shared" si="5"/>
        <v>0</v>
      </c>
      <c r="S19" s="7">
        <f t="shared" si="6"/>
        <v>10</v>
      </c>
      <c r="T19" s="7">
        <f t="shared" si="7"/>
        <v>9</v>
      </c>
      <c r="U19" s="7">
        <f t="shared" si="25"/>
        <v>0</v>
      </c>
      <c r="V19" s="7">
        <f>SUM($U$5:$U19)</f>
        <v>7751</v>
      </c>
      <c r="W19" s="43">
        <f>IF(V18&gt;7000,0,IF(SUM($W$5:$W18)=7000,0,IF(V19&gt;7000,(V18-7000)*-1,U19)))</f>
        <v>0</v>
      </c>
      <c r="X19" s="15"/>
      <c r="Y19" s="7">
        <f t="shared" si="9"/>
        <v>0</v>
      </c>
      <c r="Z19" s="7">
        <f>SUM($Y$5:$Y19)</f>
        <v>1202</v>
      </c>
      <c r="AA19" s="43">
        <f>IF(Z18&gt;$X$28,0,IF(SUM($AA$5:$AA18)=$X$28,0,IF(Z19&gt;$X$28,(Z18-$X$28)*-1,Y19)))</f>
        <v>0</v>
      </c>
      <c r="AB19" s="51"/>
      <c r="AC19" s="7">
        <f t="shared" si="10"/>
        <v>0</v>
      </c>
      <c r="AD19" s="7">
        <f>SUM($AC$5:$AC19)</f>
        <v>513</v>
      </c>
      <c r="AE19" s="43">
        <f>IF(AD18&gt;$AB$28,0,IF(SUM($AE$5:$AE18)=$AB$28,0,IF(AD19&gt;$AB$28,(AD18-$AB$28)*-1,AC19)))</f>
        <v>0</v>
      </c>
      <c r="AF19" s="51"/>
      <c r="AG19" s="7">
        <f t="shared" si="11"/>
        <v>0</v>
      </c>
      <c r="AH19" s="7">
        <f>SUM($AG$5:$AG19)</f>
        <v>256</v>
      </c>
      <c r="AI19" s="43">
        <f>IF(AH18&gt;$AF$28,0,IF(SUM($AI$5:$AI18)=$AF$28,0,IF(AH19&gt;$AF$28,(AH18-$AF$28)*-1,AG19)))</f>
        <v>0</v>
      </c>
      <c r="AJ19" s="51"/>
      <c r="AK19" s="7">
        <f t="shared" si="12"/>
        <v>0</v>
      </c>
      <c r="AL19" s="7">
        <f>SUM($Y$5:$Y19)</f>
        <v>1202</v>
      </c>
      <c r="AM19" s="43">
        <f>IF(AL18&gt;$AJ$28,0,IF(SUM($AM$5:$AM18)=$AJ$28,0,IF(AL19&gt;$AJ$28,(AL18-$AJ$28)*-1,AK19)))</f>
        <v>0</v>
      </c>
      <c r="AN19" s="15"/>
      <c r="AO19" s="15"/>
      <c r="AP19" s="43">
        <f t="shared" si="24"/>
        <v>0</v>
      </c>
      <c r="AQ19" s="15"/>
      <c r="AR19" s="7">
        <f t="shared" si="13"/>
        <v>0</v>
      </c>
      <c r="AS19" s="7">
        <f>SUM($AR$5:$AR19)</f>
        <v>707</v>
      </c>
      <c r="AT19" s="43">
        <f>IF(AS18&gt;$AQ$28,0,IF(SUM($AT$5:$AT18)=$AQ$28,0,IF(AS19&gt;$AQ$28,(AS18-$AQ$28)*-1,AR19)))</f>
        <v>0</v>
      </c>
      <c r="AU19" s="15"/>
      <c r="AV19" s="7">
        <f t="shared" si="14"/>
        <v>0</v>
      </c>
      <c r="AW19" s="7">
        <f>SUM($AV$5:$AV19)</f>
        <v>432</v>
      </c>
      <c r="AX19" s="43">
        <f>IF(AW18&gt;$AU$28,0,IF(SUM($AX$5:$AX18)=$AU$28,0,IF(AW19&gt;$AU$28,(AW18-$AU$28)*-1,AV19)))</f>
        <v>0</v>
      </c>
      <c r="AY19" s="15"/>
      <c r="AZ19" s="43">
        <f t="shared" si="15"/>
        <v>0</v>
      </c>
      <c r="BA19" s="55">
        <f t="shared" si="16"/>
        <v>0</v>
      </c>
      <c r="BB19" s="56"/>
      <c r="BC19" s="57">
        <f t="shared" si="17"/>
        <v>0</v>
      </c>
      <c r="BD19" s="58"/>
      <c r="BE19" s="43">
        <f t="shared" si="18"/>
        <v>0</v>
      </c>
      <c r="BF19" s="57" t="str">
        <f t="shared" si="19"/>
        <v/>
      </c>
      <c r="BG19" s="57" t="str">
        <f t="shared" si="20"/>
        <v/>
      </c>
      <c r="BI19" s="57" t="str">
        <f t="shared" si="21"/>
        <v/>
      </c>
      <c r="BJ19" s="57" t="str">
        <f t="shared" si="22"/>
        <v/>
      </c>
    </row>
    <row r="20" ht="24" customHeight="1" spans="1:62">
      <c r="A20" s="12"/>
      <c r="B20" s="26"/>
      <c r="C20" s="14"/>
      <c r="D20" s="15"/>
      <c r="E20" s="16"/>
      <c r="F20" s="15"/>
      <c r="G20" s="15"/>
      <c r="H20" s="18"/>
      <c r="I20" s="17"/>
      <c r="J20" s="41">
        <f t="shared" si="0"/>
        <v>0</v>
      </c>
      <c r="K20" s="42">
        <f t="shared" si="1"/>
        <v>0</v>
      </c>
      <c r="L20" s="42">
        <f t="shared" si="2"/>
        <v>0</v>
      </c>
      <c r="M20" s="15"/>
      <c r="N20" s="43">
        <f t="shared" si="3"/>
        <v>0</v>
      </c>
      <c r="O20" s="7">
        <f>$O$5</f>
        <v>11</v>
      </c>
      <c r="P20" s="7">
        <f t="shared" si="23"/>
        <v>0</v>
      </c>
      <c r="Q20" s="7">
        <f t="shared" si="4"/>
        <v>0</v>
      </c>
      <c r="R20" s="7">
        <f t="shared" si="5"/>
        <v>0</v>
      </c>
      <c r="S20" s="7">
        <f t="shared" si="6"/>
        <v>10</v>
      </c>
      <c r="T20" s="7">
        <f t="shared" si="7"/>
        <v>9</v>
      </c>
      <c r="U20" s="7">
        <f t="shared" si="25"/>
        <v>0</v>
      </c>
      <c r="V20" s="7">
        <f>SUM($U$5:$U20)</f>
        <v>7751</v>
      </c>
      <c r="W20" s="43">
        <f>IF(V19&gt;7000,0,IF(SUM($W$5:$W19)=7000,0,IF(V20&gt;7000,(V19-7000)*-1,U20)))</f>
        <v>0</v>
      </c>
      <c r="X20" s="15"/>
      <c r="Y20" s="7">
        <f t="shared" si="9"/>
        <v>0</v>
      </c>
      <c r="Z20" s="7">
        <f>SUM($Y$5:$Y20)</f>
        <v>1202</v>
      </c>
      <c r="AA20" s="43">
        <f>IF(Z19&gt;$X$28,0,IF(SUM($AA$5:$AA19)=$X$28,0,IF(Z20&gt;$X$28,(Z19-$X$28)*-1,Y20)))</f>
        <v>0</v>
      </c>
      <c r="AB20" s="51"/>
      <c r="AC20" s="7">
        <f t="shared" si="10"/>
        <v>0</v>
      </c>
      <c r="AD20" s="7">
        <f>SUM($AC$5:$AC20)</f>
        <v>513</v>
      </c>
      <c r="AE20" s="43">
        <f>IF(AD19&gt;$AB$28,0,IF(SUM($AE$5:$AE19)=$AB$28,0,IF(AD20&gt;$AB$28,(AD19-$AB$28)*-1,AC20)))</f>
        <v>0</v>
      </c>
      <c r="AF20" s="51"/>
      <c r="AG20" s="7">
        <f t="shared" si="11"/>
        <v>0</v>
      </c>
      <c r="AH20" s="7">
        <f>SUM($AG$5:$AG20)</f>
        <v>256</v>
      </c>
      <c r="AI20" s="43">
        <f>IF(AH19&gt;$AF$28,0,IF(SUM($AI$5:$AI19)=$AF$28,0,IF(AH20&gt;$AF$28,(AH19-$AF$28)*-1,AG20)))</f>
        <v>0</v>
      </c>
      <c r="AJ20" s="51"/>
      <c r="AK20" s="7">
        <f t="shared" si="12"/>
        <v>0</v>
      </c>
      <c r="AL20" s="7">
        <f>SUM($Y$5:$Y20)</f>
        <v>1202</v>
      </c>
      <c r="AM20" s="43">
        <f>IF(AL19&gt;$AJ$28,0,IF(SUM($AM$5:$AM19)=$AJ$28,0,IF(AL20&gt;$AJ$28,(AL19-$AJ$28)*-1,AK20)))</f>
        <v>0</v>
      </c>
      <c r="AN20" s="15"/>
      <c r="AO20" s="15"/>
      <c r="AP20" s="43">
        <f t="shared" si="24"/>
        <v>0</v>
      </c>
      <c r="AQ20" s="15"/>
      <c r="AR20" s="7">
        <f t="shared" si="13"/>
        <v>0</v>
      </c>
      <c r="AS20" s="7">
        <f>SUM($AR$5:$AR20)</f>
        <v>707</v>
      </c>
      <c r="AT20" s="43">
        <f>IF(AS19&gt;$AQ$28,0,IF(SUM($AT$5:$AT19)=$AQ$28,0,IF(AS20&gt;$AQ$28,(AS19-$AQ$28)*-1,AR20)))</f>
        <v>0</v>
      </c>
      <c r="AU20" s="15"/>
      <c r="AV20" s="7">
        <f t="shared" si="14"/>
        <v>0</v>
      </c>
      <c r="AW20" s="7">
        <f>SUM($AV$5:$AV20)</f>
        <v>432</v>
      </c>
      <c r="AX20" s="43">
        <f>IF(AW19&gt;$AU$28,0,IF(SUM($AX$5:$AX19)=$AU$28,0,IF(AW20&gt;$AU$28,(AW19-$AU$28)*-1,AV20)))</f>
        <v>0</v>
      </c>
      <c r="AY20" s="15"/>
      <c r="AZ20" s="43">
        <f t="shared" si="15"/>
        <v>0</v>
      </c>
      <c r="BA20" s="55">
        <f t="shared" si="16"/>
        <v>0</v>
      </c>
      <c r="BB20" s="56"/>
      <c r="BC20" s="57">
        <f t="shared" si="17"/>
        <v>0</v>
      </c>
      <c r="BD20" s="58"/>
      <c r="BE20" s="43">
        <f t="shared" si="18"/>
        <v>0</v>
      </c>
      <c r="BF20" s="57" t="str">
        <f t="shared" si="19"/>
        <v/>
      </c>
      <c r="BG20" s="57" t="str">
        <f t="shared" si="20"/>
        <v/>
      </c>
      <c r="BI20" s="57" t="str">
        <f t="shared" si="21"/>
        <v/>
      </c>
      <c r="BJ20" s="57" t="str">
        <f t="shared" si="22"/>
        <v/>
      </c>
    </row>
    <row r="21" ht="24" customHeight="1" spans="1:62">
      <c r="A21" s="12"/>
      <c r="B21" s="26"/>
      <c r="C21" s="14"/>
      <c r="D21" s="15"/>
      <c r="E21" s="16"/>
      <c r="F21" s="15"/>
      <c r="G21" s="15"/>
      <c r="H21" s="18"/>
      <c r="I21" s="17"/>
      <c r="J21" s="41">
        <f t="shared" si="0"/>
        <v>0</v>
      </c>
      <c r="K21" s="42">
        <f t="shared" si="1"/>
        <v>0</v>
      </c>
      <c r="L21" s="42">
        <f t="shared" si="2"/>
        <v>0</v>
      </c>
      <c r="M21" s="15"/>
      <c r="N21" s="43">
        <f t="shared" si="3"/>
        <v>0</v>
      </c>
      <c r="O21" s="7">
        <f>$O$5</f>
        <v>11</v>
      </c>
      <c r="P21" s="7">
        <f t="shared" si="23"/>
        <v>0</v>
      </c>
      <c r="Q21" s="7">
        <f t="shared" si="4"/>
        <v>0</v>
      </c>
      <c r="R21" s="7">
        <f t="shared" si="5"/>
        <v>0</v>
      </c>
      <c r="S21" s="7">
        <f t="shared" si="6"/>
        <v>10</v>
      </c>
      <c r="T21" s="7">
        <f t="shared" si="7"/>
        <v>9</v>
      </c>
      <c r="U21" s="7">
        <f t="shared" si="25"/>
        <v>0</v>
      </c>
      <c r="V21" s="7">
        <f>SUM($U$5:$U21)</f>
        <v>7751</v>
      </c>
      <c r="W21" s="43">
        <f>IF(V20&gt;7000,0,IF(SUM($W$5:$W20)=7000,0,IF(V21&gt;7000,(V20-7000)*-1,U21)))</f>
        <v>0</v>
      </c>
      <c r="X21" s="15"/>
      <c r="Y21" s="7">
        <f t="shared" si="9"/>
        <v>0</v>
      </c>
      <c r="Z21" s="7">
        <f>SUM($Y$5:$Y21)</f>
        <v>1202</v>
      </c>
      <c r="AA21" s="43">
        <f>IF(Z20&gt;$X$28,0,IF(SUM($AA$5:$AA20)=$X$28,0,IF(Z21&gt;$X$28,(Z20-$X$28)*-1,Y21)))</f>
        <v>0</v>
      </c>
      <c r="AB21" s="51"/>
      <c r="AC21" s="7">
        <f t="shared" si="10"/>
        <v>0</v>
      </c>
      <c r="AD21" s="7">
        <f>SUM($AC$5:$AC21)</f>
        <v>513</v>
      </c>
      <c r="AE21" s="43">
        <f>IF(AD20&gt;$AB$28,0,IF(SUM($AE$5:$AE20)=$AB$28,0,IF(AD21&gt;$AB$28,(AD20-$AB$28)*-1,AC21)))</f>
        <v>0</v>
      </c>
      <c r="AF21" s="51"/>
      <c r="AG21" s="7">
        <f t="shared" si="11"/>
        <v>0</v>
      </c>
      <c r="AH21" s="7">
        <f>SUM($AG$5:$AG21)</f>
        <v>256</v>
      </c>
      <c r="AI21" s="43">
        <f>IF(AH20&gt;$AF$28,0,IF(SUM($AI$5:$AI20)=$AF$28,0,IF(AH21&gt;$AF$28,(AH20-$AF$28)*-1,AG21)))</f>
        <v>0</v>
      </c>
      <c r="AJ21" s="51"/>
      <c r="AK21" s="7">
        <f t="shared" si="12"/>
        <v>0</v>
      </c>
      <c r="AL21" s="7">
        <f>SUM($Y$5:$Y21)</f>
        <v>1202</v>
      </c>
      <c r="AM21" s="43">
        <f>IF(AL20&gt;$AJ$28,0,IF(SUM($AM$5:$AM20)=$AJ$28,0,IF(AL21&gt;$AJ$28,(AL20-$AJ$28)*-1,AK21)))</f>
        <v>0</v>
      </c>
      <c r="AN21" s="15"/>
      <c r="AO21" s="15"/>
      <c r="AP21" s="43">
        <f t="shared" si="24"/>
        <v>0</v>
      </c>
      <c r="AQ21" s="15"/>
      <c r="AR21" s="7">
        <f t="shared" si="13"/>
        <v>0</v>
      </c>
      <c r="AS21" s="7">
        <f>SUM($AR$5:$AR21)</f>
        <v>707</v>
      </c>
      <c r="AT21" s="43">
        <f>IF(AS20&gt;$AQ$28,0,IF(SUM($AT$5:$AT20)=$AQ$28,0,IF(AS21&gt;$AQ$28,(AS20-$AQ$28)*-1,AR21)))</f>
        <v>0</v>
      </c>
      <c r="AU21" s="15"/>
      <c r="AV21" s="7">
        <f t="shared" si="14"/>
        <v>0</v>
      </c>
      <c r="AW21" s="7">
        <f>SUM($AV$5:$AV21)</f>
        <v>432</v>
      </c>
      <c r="AX21" s="43">
        <f>IF(AW20&gt;$AU$28,0,IF(SUM($AX$5:$AX20)=$AU$28,0,IF(AW21&gt;$AU$28,(AW20-$AU$28)*-1,AV21)))</f>
        <v>0</v>
      </c>
      <c r="AY21" s="15"/>
      <c r="AZ21" s="43">
        <f t="shared" si="15"/>
        <v>0</v>
      </c>
      <c r="BA21" s="55">
        <f t="shared" si="16"/>
        <v>0</v>
      </c>
      <c r="BB21" s="56"/>
      <c r="BC21" s="57">
        <f t="shared" si="17"/>
        <v>0</v>
      </c>
      <c r="BD21" s="58"/>
      <c r="BE21" s="43">
        <f t="shared" si="18"/>
        <v>0</v>
      </c>
      <c r="BF21" s="57" t="str">
        <f t="shared" si="19"/>
        <v/>
      </c>
      <c r="BG21" s="57" t="str">
        <f t="shared" si="20"/>
        <v/>
      </c>
      <c r="BI21" s="57" t="str">
        <f t="shared" si="21"/>
        <v/>
      </c>
      <c r="BJ21" s="57" t="str">
        <f t="shared" si="22"/>
        <v/>
      </c>
    </row>
    <row r="22" ht="24" customHeight="1" spans="1:62">
      <c r="A22" s="12"/>
      <c r="B22" s="26"/>
      <c r="C22" s="14"/>
      <c r="D22" s="15"/>
      <c r="E22" s="16"/>
      <c r="F22" s="15"/>
      <c r="G22" s="15"/>
      <c r="H22" s="18"/>
      <c r="I22" s="17"/>
      <c r="J22" s="41">
        <f t="shared" si="0"/>
        <v>0</v>
      </c>
      <c r="K22" s="42">
        <f t="shared" si="1"/>
        <v>0</v>
      </c>
      <c r="L22" s="42">
        <f t="shared" si="2"/>
        <v>0</v>
      </c>
      <c r="M22" s="15"/>
      <c r="N22" s="43">
        <f t="shared" si="3"/>
        <v>0</v>
      </c>
      <c r="O22" s="7">
        <f>$O$5</f>
        <v>11</v>
      </c>
      <c r="P22" s="7">
        <f t="shared" si="23"/>
        <v>0</v>
      </c>
      <c r="Q22" s="7">
        <f t="shared" si="4"/>
        <v>0</v>
      </c>
      <c r="R22" s="7">
        <f t="shared" si="5"/>
        <v>0</v>
      </c>
      <c r="S22" s="7">
        <f t="shared" si="6"/>
        <v>10</v>
      </c>
      <c r="T22" s="7">
        <f t="shared" si="7"/>
        <v>9</v>
      </c>
      <c r="U22" s="7">
        <f t="shared" si="25"/>
        <v>0</v>
      </c>
      <c r="V22" s="7">
        <f>SUM($U$5:$U22)</f>
        <v>7751</v>
      </c>
      <c r="W22" s="43">
        <f>IF(V21&gt;7000,0,IF(SUM($W$5:$W21)=7000,0,IF(V22&gt;7000,(V21-7000)*-1,U22)))</f>
        <v>0</v>
      </c>
      <c r="X22" s="15"/>
      <c r="Y22" s="7">
        <f t="shared" si="9"/>
        <v>0</v>
      </c>
      <c r="Z22" s="7">
        <f>SUM($Y$5:$Y22)</f>
        <v>1202</v>
      </c>
      <c r="AA22" s="43">
        <f>IF(Z21&gt;$X$28,0,IF(SUM($AA$5:$AA21)=$X$28,0,IF(Z22&gt;$X$28,(Z21-$X$28)*-1,Y22)))</f>
        <v>0</v>
      </c>
      <c r="AB22" s="51"/>
      <c r="AC22" s="7">
        <f t="shared" si="10"/>
        <v>0</v>
      </c>
      <c r="AD22" s="7">
        <f>SUM($AC$5:$AC22)</f>
        <v>513</v>
      </c>
      <c r="AE22" s="43">
        <f>IF(AD21&gt;$AB$28,0,IF(SUM($AE$5:$AE21)=$AB$28,0,IF(AD22&gt;$AB$28,(AD21-$AB$28)*-1,AC22)))</f>
        <v>0</v>
      </c>
      <c r="AF22" s="51"/>
      <c r="AG22" s="7">
        <f t="shared" si="11"/>
        <v>0</v>
      </c>
      <c r="AH22" s="7">
        <f>SUM($AG$5:$AG22)</f>
        <v>256</v>
      </c>
      <c r="AI22" s="43">
        <f>IF(AH21&gt;$AF$28,0,IF(SUM($AI$5:$AI21)=$AF$28,0,IF(AH22&gt;$AF$28,(AH21-$AF$28)*-1,AG22)))</f>
        <v>0</v>
      </c>
      <c r="AJ22" s="51"/>
      <c r="AK22" s="7">
        <f t="shared" si="12"/>
        <v>0</v>
      </c>
      <c r="AL22" s="7">
        <f>SUM($Y$5:$Y22)</f>
        <v>1202</v>
      </c>
      <c r="AM22" s="43">
        <f>IF(AL21&gt;$AJ$28,0,IF(SUM($AM$5:$AM21)=$AJ$28,0,IF(AL22&gt;$AJ$28,(AL21-$AJ$28)*-1,AK22)))</f>
        <v>0</v>
      </c>
      <c r="AN22" s="15"/>
      <c r="AO22" s="15"/>
      <c r="AP22" s="43">
        <f t="shared" si="24"/>
        <v>0</v>
      </c>
      <c r="AQ22" s="15"/>
      <c r="AR22" s="7">
        <f t="shared" si="13"/>
        <v>0</v>
      </c>
      <c r="AS22" s="7">
        <f>SUM($AR$5:$AR22)</f>
        <v>707</v>
      </c>
      <c r="AT22" s="43">
        <f>IF(AS21&gt;$AQ$28,0,IF(SUM($AT$5:$AT21)=$AQ$28,0,IF(AS22&gt;$AQ$28,(AS21-$AQ$28)*-1,AR22)))</f>
        <v>0</v>
      </c>
      <c r="AU22" s="15"/>
      <c r="AV22" s="7">
        <f t="shared" si="14"/>
        <v>0</v>
      </c>
      <c r="AW22" s="7">
        <f>SUM($AV$5:$AV22)</f>
        <v>432</v>
      </c>
      <c r="AX22" s="43">
        <f>IF(AW21&gt;$AU$28,0,IF(SUM($AX$5:$AX21)=$AU$28,0,IF(AW22&gt;$AU$28,(AW21-$AU$28)*-1,AV22)))</f>
        <v>0</v>
      </c>
      <c r="AY22" s="15"/>
      <c r="AZ22" s="43">
        <f t="shared" si="15"/>
        <v>0</v>
      </c>
      <c r="BA22" s="55">
        <f t="shared" si="16"/>
        <v>0</v>
      </c>
      <c r="BB22" s="56"/>
      <c r="BC22" s="57">
        <f t="shared" si="17"/>
        <v>0</v>
      </c>
      <c r="BD22" s="58"/>
      <c r="BE22" s="43">
        <f t="shared" si="18"/>
        <v>0</v>
      </c>
      <c r="BF22" s="57" t="str">
        <f t="shared" si="19"/>
        <v/>
      </c>
      <c r="BG22" s="57" t="str">
        <f t="shared" si="20"/>
        <v/>
      </c>
      <c r="BI22" s="57" t="str">
        <f t="shared" si="21"/>
        <v/>
      </c>
      <c r="BJ22" s="57" t="str">
        <f t="shared" si="22"/>
        <v/>
      </c>
    </row>
    <row r="23" ht="24" customHeight="1" spans="1:62">
      <c r="A23" s="12"/>
      <c r="B23" s="26"/>
      <c r="C23" s="14"/>
      <c r="D23" s="15"/>
      <c r="E23" s="16"/>
      <c r="F23" s="15"/>
      <c r="G23" s="15"/>
      <c r="H23" s="18"/>
      <c r="I23" s="17"/>
      <c r="J23" s="41">
        <f t="shared" si="0"/>
        <v>0</v>
      </c>
      <c r="K23" s="42">
        <f t="shared" si="1"/>
        <v>0</v>
      </c>
      <c r="L23" s="42">
        <f t="shared" si="2"/>
        <v>0</v>
      </c>
      <c r="M23" s="15"/>
      <c r="N23" s="43">
        <f t="shared" si="3"/>
        <v>0</v>
      </c>
      <c r="O23" s="7">
        <f>$O$5</f>
        <v>11</v>
      </c>
      <c r="P23" s="7">
        <f t="shared" si="23"/>
        <v>0</v>
      </c>
      <c r="Q23" s="7">
        <f t="shared" si="4"/>
        <v>0</v>
      </c>
      <c r="R23" s="7">
        <f t="shared" si="5"/>
        <v>0</v>
      </c>
      <c r="S23" s="7">
        <f t="shared" si="6"/>
        <v>10</v>
      </c>
      <c r="T23" s="7">
        <f t="shared" si="7"/>
        <v>9</v>
      </c>
      <c r="U23" s="7">
        <f t="shared" si="25"/>
        <v>0</v>
      </c>
      <c r="V23" s="7">
        <f>SUM($U$5:$U23)</f>
        <v>7751</v>
      </c>
      <c r="W23" s="43">
        <f>IF(V22&gt;7000,0,IF(SUM($W$5:$W22)=7000,0,IF(V23&gt;7000,(V22-7000)*-1,U23)))</f>
        <v>0</v>
      </c>
      <c r="X23" s="15"/>
      <c r="Y23" s="7">
        <f t="shared" si="9"/>
        <v>0</v>
      </c>
      <c r="Z23" s="7">
        <f>SUM($Y$5:$Y23)</f>
        <v>1202</v>
      </c>
      <c r="AA23" s="43">
        <f>IF(Z22&gt;$X$28,0,IF(SUM($AA$5:$AA22)=$X$28,0,IF(Z23&gt;$X$28,(Z22-$X$28)*-1,Y23)))</f>
        <v>0</v>
      </c>
      <c r="AB23" s="51"/>
      <c r="AC23" s="7">
        <f t="shared" si="10"/>
        <v>0</v>
      </c>
      <c r="AD23" s="7">
        <f>SUM($AC$5:$AC23)</f>
        <v>513</v>
      </c>
      <c r="AE23" s="43">
        <f>IF(AD22&gt;$AB$28,0,IF(SUM($AE$5:$AE22)=$AB$28,0,IF(AD23&gt;$AB$28,(AD22-$AB$28)*-1,AC23)))</f>
        <v>0</v>
      </c>
      <c r="AF23" s="51"/>
      <c r="AG23" s="7">
        <f t="shared" si="11"/>
        <v>0</v>
      </c>
      <c r="AH23" s="7">
        <f>SUM($AG$5:$AG23)</f>
        <v>256</v>
      </c>
      <c r="AI23" s="43">
        <f>IF(AH22&gt;$AF$28,0,IF(SUM($AI$5:$AI22)=$AF$28,0,IF(AH23&gt;$AF$28,(AH22-$AF$28)*-1,AG23)))</f>
        <v>0</v>
      </c>
      <c r="AJ23" s="51"/>
      <c r="AK23" s="7">
        <f t="shared" si="12"/>
        <v>0</v>
      </c>
      <c r="AL23" s="7">
        <f>SUM($Y$5:$Y23)</f>
        <v>1202</v>
      </c>
      <c r="AM23" s="43">
        <f>IF(AL22&gt;$AJ$28,0,IF(SUM($AM$5:$AM22)=$AJ$28,0,IF(AL23&gt;$AJ$28,(AL22-$AJ$28)*-1,AK23)))</f>
        <v>0</v>
      </c>
      <c r="AN23" s="15"/>
      <c r="AO23" s="15"/>
      <c r="AP23" s="43">
        <f t="shared" si="24"/>
        <v>0</v>
      </c>
      <c r="AQ23" s="15"/>
      <c r="AR23" s="7">
        <f t="shared" si="13"/>
        <v>0</v>
      </c>
      <c r="AS23" s="7">
        <f>SUM($AR$5:$AR23)</f>
        <v>707</v>
      </c>
      <c r="AT23" s="43">
        <f>IF(AS22&gt;$AQ$28,0,IF(SUM($AT$5:$AT22)=$AQ$28,0,IF(AS23&gt;$AQ$28,(AS22-$AQ$28)*-1,AR23)))</f>
        <v>0</v>
      </c>
      <c r="AU23" s="15"/>
      <c r="AV23" s="7">
        <f t="shared" si="14"/>
        <v>0</v>
      </c>
      <c r="AW23" s="7">
        <f>SUM($AV$5:$AV23)</f>
        <v>432</v>
      </c>
      <c r="AX23" s="43">
        <f>IF(AW22&gt;$AU$28,0,IF(SUM($AX$5:$AX22)=$AU$28,0,IF(AW23&gt;$AU$28,(AW22-$AU$28)*-1,AV23)))</f>
        <v>0</v>
      </c>
      <c r="AY23" s="15"/>
      <c r="AZ23" s="43">
        <f t="shared" si="15"/>
        <v>0</v>
      </c>
      <c r="BA23" s="55">
        <f t="shared" si="16"/>
        <v>0</v>
      </c>
      <c r="BB23" s="56"/>
      <c r="BC23" s="57">
        <f t="shared" si="17"/>
        <v>0</v>
      </c>
      <c r="BD23" s="58"/>
      <c r="BE23" s="43">
        <f t="shared" si="18"/>
        <v>0</v>
      </c>
      <c r="BF23" s="57" t="str">
        <f t="shared" si="19"/>
        <v/>
      </c>
      <c r="BG23" s="57" t="str">
        <f t="shared" si="20"/>
        <v/>
      </c>
      <c r="BI23" s="57" t="str">
        <f t="shared" si="21"/>
        <v/>
      </c>
      <c r="BJ23" s="57" t="str">
        <f t="shared" si="22"/>
        <v/>
      </c>
    </row>
    <row r="24" ht="24" customHeight="1" spans="1:62">
      <c r="A24" s="12"/>
      <c r="B24" s="27"/>
      <c r="C24" s="28"/>
      <c r="D24" s="29"/>
      <c r="E24" s="30"/>
      <c r="F24" s="29"/>
      <c r="G24" s="29"/>
      <c r="H24" s="31"/>
      <c r="I24" s="17"/>
      <c r="J24" s="44">
        <f t="shared" si="0"/>
        <v>0</v>
      </c>
      <c r="K24" s="45">
        <f t="shared" si="1"/>
        <v>0</v>
      </c>
      <c r="L24" s="45">
        <f t="shared" si="2"/>
        <v>0</v>
      </c>
      <c r="M24" s="29"/>
      <c r="N24" s="46">
        <f t="shared" si="3"/>
        <v>0</v>
      </c>
      <c r="O24" s="47">
        <f>$O$5</f>
        <v>11</v>
      </c>
      <c r="P24" s="47">
        <f t="shared" si="23"/>
        <v>0</v>
      </c>
      <c r="Q24" s="47">
        <f t="shared" si="4"/>
        <v>0</v>
      </c>
      <c r="R24" s="47">
        <f t="shared" si="5"/>
        <v>0</v>
      </c>
      <c r="S24" s="47">
        <f t="shared" si="6"/>
        <v>10</v>
      </c>
      <c r="T24" s="47">
        <f t="shared" si="7"/>
        <v>9</v>
      </c>
      <c r="U24" s="47">
        <f t="shared" si="25"/>
        <v>0</v>
      </c>
      <c r="V24" s="47">
        <f>SUM($U$5:$U24)</f>
        <v>7751</v>
      </c>
      <c r="W24" s="46">
        <f>IF(V23&gt;7000,0,IF(SUM($W$5:$W23)=7000,0,IF(V24&gt;7000,(V23-7000)*-1,U24)))</f>
        <v>0</v>
      </c>
      <c r="X24" s="29"/>
      <c r="Y24" s="47">
        <f t="shared" si="9"/>
        <v>0</v>
      </c>
      <c r="Z24" s="47">
        <f>SUM($Y$5:$Y24)</f>
        <v>1202</v>
      </c>
      <c r="AA24" s="46">
        <f>IF(Z23&gt;$X$28,0,IF(SUM($AA$5:$AA23)=$X$28,0,IF(Z24&gt;$X$28,(Z23-$X$28)*-1,Y24)))</f>
        <v>0</v>
      </c>
      <c r="AB24" s="52"/>
      <c r="AC24" s="47">
        <f t="shared" si="10"/>
        <v>0</v>
      </c>
      <c r="AD24" s="47">
        <f>SUM($AC$5:$AC24)</f>
        <v>513</v>
      </c>
      <c r="AE24" s="46">
        <f>IF(AD23&gt;$AB$28,0,IF(SUM($AE$5:$AE23)=$AB$28,0,IF(AD24&gt;$AB$28,(AD23-$AB$28)*-1,AC24)))</f>
        <v>0</v>
      </c>
      <c r="AF24" s="52"/>
      <c r="AG24" s="47">
        <f t="shared" si="11"/>
        <v>0</v>
      </c>
      <c r="AH24" s="47">
        <f>SUM($AG$5:$AG24)</f>
        <v>256</v>
      </c>
      <c r="AI24" s="46">
        <f>IF(AH23&gt;$AF$28,0,IF(SUM($AI$5:$AI23)=$AF$28,0,IF(AH24&gt;$AF$28,(AH23-$AF$28)*-1,AG24)))</f>
        <v>0</v>
      </c>
      <c r="AJ24" s="52"/>
      <c r="AK24" s="47">
        <f t="shared" si="12"/>
        <v>0</v>
      </c>
      <c r="AL24" s="47">
        <f>SUM($Y$5:$Y24)</f>
        <v>1202</v>
      </c>
      <c r="AM24" s="46">
        <f>IF(AL23&gt;$AJ$28,0,IF(SUM($AM$5:$AM23)=$AJ$28,0,IF(AL24&gt;$AJ$28,(AL23-$AJ$28)*-1,AK24)))</f>
        <v>0</v>
      </c>
      <c r="AN24" s="29"/>
      <c r="AO24" s="29"/>
      <c r="AP24" s="46">
        <f t="shared" si="24"/>
        <v>0</v>
      </c>
      <c r="AQ24" s="29"/>
      <c r="AR24" s="47">
        <f t="shared" si="13"/>
        <v>0</v>
      </c>
      <c r="AS24" s="47">
        <f>SUM($AR$5:$AR24)</f>
        <v>707</v>
      </c>
      <c r="AT24" s="46">
        <f>IF(AS23&gt;$AQ$28,0,IF(SUM($AT$5:$AT23)=$AQ$28,0,IF(AS24&gt;$AQ$28,(AS23-$AQ$28)*-1,AR24)))</f>
        <v>0</v>
      </c>
      <c r="AU24" s="29"/>
      <c r="AV24" s="47">
        <f t="shared" si="14"/>
        <v>0</v>
      </c>
      <c r="AW24" s="47">
        <f>SUM($AV$5:$AV24)</f>
        <v>432</v>
      </c>
      <c r="AX24" s="46">
        <f>IF(AW23&gt;$AU$28,0,IF(SUM($AX$5:$AX23)=$AU$28,0,IF(AW24&gt;$AU$28,(AW23-$AU$28)*-1,AV24)))</f>
        <v>0</v>
      </c>
      <c r="AY24" s="15"/>
      <c r="AZ24" s="43">
        <f t="shared" si="15"/>
        <v>0</v>
      </c>
      <c r="BA24" s="55">
        <f t="shared" si="16"/>
        <v>0</v>
      </c>
      <c r="BB24" s="59"/>
      <c r="BC24" s="60">
        <f t="shared" si="17"/>
        <v>0</v>
      </c>
      <c r="BD24" s="61"/>
      <c r="BE24" s="46">
        <f t="shared" si="18"/>
        <v>0</v>
      </c>
      <c r="BF24" s="60" t="str">
        <f t="shared" si="19"/>
        <v/>
      </c>
      <c r="BG24" s="60" t="str">
        <f t="shared" si="20"/>
        <v/>
      </c>
      <c r="BI24" s="60" t="str">
        <f t="shared" si="21"/>
        <v/>
      </c>
      <c r="BJ24" s="57" t="str">
        <f t="shared" si="22"/>
        <v/>
      </c>
    </row>
    <row r="25" ht="9.75" spans="2:62">
      <c r="B25" s="7" t="s">
        <v>81</v>
      </c>
      <c r="C25" s="32"/>
      <c r="D25" s="33">
        <f>SUM(D5:D24)</f>
        <v>11</v>
      </c>
      <c r="E25" s="34">
        <f>SUM(E5:E24)</f>
        <v>98240</v>
      </c>
      <c r="F25" s="35"/>
      <c r="G25" s="4"/>
      <c r="H25" s="4"/>
      <c r="I25" s="4"/>
      <c r="J25" s="4"/>
      <c r="K25" s="4"/>
      <c r="L25" s="48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f>SUM(W5:W24)</f>
        <v>7000</v>
      </c>
      <c r="X25" s="4"/>
      <c r="Y25" s="4"/>
      <c r="Z25" s="4"/>
      <c r="AA25" s="4">
        <f>SUM(AA5:AA24)</f>
        <v>1202</v>
      </c>
      <c r="AB25" s="4"/>
      <c r="AC25" s="4"/>
      <c r="AD25" s="4"/>
      <c r="AE25" s="4">
        <f>SUM(AE5:AE24)</f>
        <v>513</v>
      </c>
      <c r="AF25" s="4"/>
      <c r="AG25" s="4"/>
      <c r="AH25" s="4"/>
      <c r="AI25" s="4">
        <f>SUM(AI5:AI24)</f>
        <v>256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>
        <f>SUM(AT5:AT24)</f>
        <v>707</v>
      </c>
      <c r="AU25" s="4"/>
      <c r="AV25" s="4"/>
      <c r="AW25" s="4"/>
      <c r="AX25" s="62">
        <f t="shared" ref="AX25:BG25" si="26">SUM(AX5:AX24)</f>
        <v>432</v>
      </c>
      <c r="AY25" s="4"/>
      <c r="AZ25" s="4"/>
      <c r="BA25" s="63">
        <f t="shared" si="26"/>
        <v>68477</v>
      </c>
      <c r="BB25" s="35">
        <f t="shared" si="26"/>
        <v>41300</v>
      </c>
      <c r="BC25" s="63">
        <f t="shared" si="26"/>
        <v>4130</v>
      </c>
      <c r="BD25" s="63">
        <f t="shared" si="26"/>
        <v>1250</v>
      </c>
      <c r="BE25" s="33">
        <f t="shared" si="26"/>
        <v>35920</v>
      </c>
      <c r="BF25" s="66">
        <f t="shared" si="26"/>
        <v>5772</v>
      </c>
      <c r="BG25" s="35">
        <f t="shared" si="26"/>
        <v>38329</v>
      </c>
      <c r="BI25" s="66">
        <f>SUM(BI5:BI24)</f>
        <v>6349</v>
      </c>
      <c r="BJ25" s="35">
        <f>SUM(BJ5:BJ24)</f>
        <v>34849</v>
      </c>
    </row>
    <row r="27" spans="15:51">
      <c r="O27" s="1" t="s">
        <v>21</v>
      </c>
      <c r="X27" s="1" t="s">
        <v>82</v>
      </c>
      <c r="AB27" s="1" t="s">
        <v>83</v>
      </c>
      <c r="AF27" s="1" t="s">
        <v>84</v>
      </c>
      <c r="AJ27" s="1" t="s">
        <v>85</v>
      </c>
      <c r="AQ27" s="1" t="s">
        <v>86</v>
      </c>
      <c r="AU27" s="1" t="s">
        <v>87</v>
      </c>
      <c r="AY27" s="64"/>
    </row>
    <row r="28" spans="15:52">
      <c r="O28" s="49">
        <v>11</v>
      </c>
      <c r="X28" s="3">
        <v>3000</v>
      </c>
      <c r="AB28" s="3">
        <v>1000</v>
      </c>
      <c r="AF28" s="3">
        <v>1000</v>
      </c>
      <c r="AJ28" s="3">
        <v>1000</v>
      </c>
      <c r="AQ28" s="3">
        <v>3000</v>
      </c>
      <c r="AU28" s="3">
        <v>1000</v>
      </c>
      <c r="AY28" s="37"/>
      <c r="AZ28" s="64"/>
    </row>
  </sheetData>
  <dataValidations count="7">
    <dataValidation type="list" allowBlank="1" showInputMessage="1" showErrorMessage="1" sqref="A5 A9 A10 A11 A16 A6:A8 A12:A15 A17:A24">
      <formula1>"●"</formula1>
    </dataValidation>
    <dataValidation type="list" allowBlank="1" showInputMessage="1" showErrorMessage="1" sqref="C11 C20 C5:C10 C12:C19 C21:C24">
      <formula1>"楽天ブックス,楽天KOBO,楽天ファッション"</formula1>
    </dataValidation>
    <dataValidation type="list" allowBlank="1" showInputMessage="1" showErrorMessage="1" sqref="AN11 AQ14 AF5:AF24 AJ16:AJ24 AN5:AN10 AN12:AN15 AN16:AN24 AO5:AO15 AO16:AO24 AQ5:AQ10 AQ11:AQ13 AQ15:AQ24 AY5:AY15 AY16:AY24">
      <formula1>"1"</formula1>
    </dataValidation>
    <dataValidation type="list" allowBlank="1" showInputMessage="1" showErrorMessage="1" sqref="D20 D5:D15 D16:D19 D21:D24">
      <formula1>"1,0"</formula1>
    </dataValidation>
    <dataValidation type="list" allowBlank="1" showInputMessage="1" showErrorMessage="1" sqref="X5:X15 X16:X24 AB5:AB8 AB9:AB12 AB13:AB24">
      <formula1>"2"</formula1>
    </dataValidation>
    <dataValidation type="list" allowBlank="1" showInputMessage="1" showErrorMessage="1" sqref="AJ5:AJ15">
      <formula1>"3"</formula1>
    </dataValidation>
    <dataValidation type="list" allowBlank="1" showInputMessage="1" showErrorMessage="1" sqref="AU5:AU24">
      <formula1>"1,2,3"</formula1>
    </dataValidation>
  </dataValidations>
  <pageMargins left="0" right="0" top="0" bottom="0" header="0" footer="0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2022.2.5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2022-02-05T21:08:00Z</dcterms:created>
  <dcterms:modified xsi:type="dcterms:W3CDTF">2022-02-06T21:14:13Z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